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mnserver\PARTAGE\TARIFS\TARIFS 2026\TARIFS 2026 EXCEL (EN COURS NE PAS ENVOYER)\"/>
    </mc:Choice>
  </mc:AlternateContent>
  <xr:revisionPtr revIDLastSave="0" documentId="13_ncr:1_{AFCC69CF-86A4-4031-A116-F675A1B628E2}" xr6:coauthVersionLast="47" xr6:coauthVersionMax="47" xr10:uidLastSave="{00000000-0000-0000-0000-000000000000}"/>
  <bookViews>
    <workbookView xWindow="-120" yWindow="-120" windowWidth="29040" windowHeight="15720" xr2:uid="{4E53B367-BBAD-4934-9E7C-02877A26FACB}"/>
  </bookViews>
  <sheets>
    <sheet name="RemiseCoef" sheetId="8" r:id="rId1"/>
    <sheet name="sommaire et ecopark" sheetId="7" r:id="rId2"/>
    <sheet name="rollpark" sheetId="1" r:id="rId3"/>
    <sheet name="rollpark (2)" sheetId="6" r:id="rId4"/>
    <sheet name="options (2)" sheetId="3" r:id="rId5"/>
    <sheet name="formule" sheetId="9" state="hidden" r:id="rId6"/>
  </sheets>
  <definedNames>
    <definedName name="coef" localSheetId="0">RemiseCoef!$B$6</definedName>
    <definedName name="coef">#REF!</definedName>
    <definedName name="forfait" localSheetId="0">RemiseCoef!$B$8</definedName>
    <definedName name="forfait">#REF!</definedName>
    <definedName name="Print_Area" localSheetId="4">'options (2)'!$A$1:$U$58</definedName>
    <definedName name="Print_Area" localSheetId="2">rollpark!$A$1:$X$68</definedName>
    <definedName name="Print_Area" localSheetId="3">'rollpark (2)'!$A$1:$X$73</definedName>
    <definedName name="Print_Area" localSheetId="1">'sommaire et ecopark'!$A$1:$X$52</definedName>
    <definedName name="Print_essai" localSheetId="4">'options (2)'!$A$1:$V$56</definedName>
    <definedName name="Print_essai" localSheetId="2">rollpark!$A$49:$V$92</definedName>
    <definedName name="Print_essai" localSheetId="3">'rollpark (2)'!#REF!</definedName>
    <definedName name="Print_essai" localSheetId="1">'sommaire et ecopark'!$A$53:$V$53</definedName>
    <definedName name="remise" localSheetId="0">RemiseCoef!$B$4</definedName>
    <definedName name="remise">#REF!</definedName>
    <definedName name="_xlnm.Print_Area" localSheetId="4">'options (2)'!$A$1:$U$58</definedName>
    <definedName name="_xlnm.Print_Area" localSheetId="2">rollpark!$A$1:$X$68</definedName>
    <definedName name="_xlnm.Print_Area" localSheetId="3">'rollpark (2)'!$A$1:$X$73</definedName>
    <definedName name="_xlnm.Print_Area" localSheetId="1">'sommaire et ecopark'!$A$1:$X$52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6" l="1"/>
  <c r="F47" i="6"/>
  <c r="M43" i="3"/>
  <c r="M42" i="3"/>
  <c r="M41" i="3"/>
  <c r="M40" i="3"/>
  <c r="M39" i="3"/>
  <c r="M38" i="3"/>
  <c r="M37" i="3"/>
  <c r="M36" i="3"/>
  <c r="M35" i="3"/>
  <c r="M34" i="3"/>
  <c r="M33" i="3"/>
  <c r="M32" i="3"/>
  <c r="M31" i="3"/>
  <c r="M30" i="3"/>
  <c r="M29" i="3"/>
  <c r="J23" i="3"/>
  <c r="J22" i="3"/>
  <c r="J21" i="3"/>
  <c r="J20" i="3"/>
  <c r="S19" i="3"/>
  <c r="P19" i="3"/>
  <c r="M19" i="3"/>
  <c r="M17" i="3"/>
  <c r="S16" i="3"/>
  <c r="P16" i="3"/>
  <c r="P15" i="3"/>
  <c r="P14" i="3"/>
  <c r="P13" i="3"/>
  <c r="P12" i="3"/>
  <c r="S12" i="3"/>
  <c r="S10" i="3"/>
  <c r="S9" i="3"/>
  <c r="S8" i="3"/>
  <c r="S7" i="3"/>
  <c r="P10" i="3"/>
  <c r="P9" i="3"/>
  <c r="P8" i="3"/>
  <c r="P7" i="3"/>
  <c r="M10" i="3"/>
  <c r="M9" i="3"/>
  <c r="M8" i="3"/>
  <c r="M7" i="3"/>
  <c r="J6" i="3"/>
  <c r="J5" i="3"/>
  <c r="V50" i="1"/>
  <c r="I50" i="1"/>
  <c r="V36" i="1"/>
  <c r="I36" i="1"/>
  <c r="W34" i="6"/>
  <c r="V34" i="6"/>
  <c r="U34" i="6"/>
  <c r="T34" i="6"/>
  <c r="S34" i="6"/>
  <c r="R34" i="6"/>
  <c r="Q34" i="6"/>
  <c r="P34" i="6"/>
  <c r="O34" i="6"/>
  <c r="N34" i="6"/>
  <c r="M34" i="6"/>
  <c r="L34" i="6"/>
  <c r="K34" i="6"/>
  <c r="J34" i="6"/>
  <c r="I34" i="6"/>
  <c r="H34" i="6"/>
  <c r="G34" i="6"/>
  <c r="F34" i="6"/>
  <c r="E34" i="6"/>
  <c r="D34" i="6"/>
  <c r="C34" i="6"/>
  <c r="B34" i="6"/>
  <c r="W33" i="6"/>
  <c r="V33" i="6"/>
  <c r="U33" i="6"/>
  <c r="T33" i="6"/>
  <c r="S33" i="6"/>
  <c r="R33" i="6"/>
  <c r="Q33" i="6"/>
  <c r="P33" i="6"/>
  <c r="O33" i="6"/>
  <c r="N33" i="6"/>
  <c r="M33" i="6"/>
  <c r="L33" i="6"/>
  <c r="K33" i="6"/>
  <c r="J33" i="6"/>
  <c r="I33" i="6"/>
  <c r="H33" i="6"/>
  <c r="G33" i="6"/>
  <c r="F33" i="6"/>
  <c r="E33" i="6"/>
  <c r="D33" i="6"/>
  <c r="C33" i="6"/>
  <c r="B33" i="6"/>
  <c r="W32" i="6"/>
  <c r="V32" i="6"/>
  <c r="U32" i="6"/>
  <c r="T32" i="6"/>
  <c r="S32" i="6"/>
  <c r="R32" i="6"/>
  <c r="Q32" i="6"/>
  <c r="P32" i="6"/>
  <c r="O32" i="6"/>
  <c r="N32" i="6"/>
  <c r="M32" i="6"/>
  <c r="L32" i="6"/>
  <c r="K32" i="6"/>
  <c r="J32" i="6"/>
  <c r="I32" i="6"/>
  <c r="H32" i="6"/>
  <c r="G32" i="6"/>
  <c r="F32" i="6"/>
  <c r="E32" i="6"/>
  <c r="D32" i="6"/>
  <c r="C32" i="6"/>
  <c r="B32" i="6"/>
  <c r="W31" i="6"/>
  <c r="V31" i="6"/>
  <c r="U31" i="6"/>
  <c r="T31" i="6"/>
  <c r="S31" i="6"/>
  <c r="R31" i="6"/>
  <c r="Q31" i="6"/>
  <c r="P31" i="6"/>
  <c r="O31" i="6"/>
  <c r="N31" i="6"/>
  <c r="M31" i="6"/>
  <c r="L31" i="6"/>
  <c r="K31" i="6"/>
  <c r="J31" i="6"/>
  <c r="I31" i="6"/>
  <c r="H31" i="6"/>
  <c r="G31" i="6"/>
  <c r="F31" i="6"/>
  <c r="E31" i="6"/>
  <c r="D31" i="6"/>
  <c r="C31" i="6"/>
  <c r="B31" i="6"/>
  <c r="W30" i="6"/>
  <c r="V30" i="6"/>
  <c r="U30" i="6"/>
  <c r="T30" i="6"/>
  <c r="S30" i="6"/>
  <c r="R30" i="6"/>
  <c r="Q30" i="6"/>
  <c r="P30" i="6"/>
  <c r="O30" i="6"/>
  <c r="N30" i="6"/>
  <c r="M30" i="6"/>
  <c r="L30" i="6"/>
  <c r="K30" i="6"/>
  <c r="J30" i="6"/>
  <c r="I30" i="6"/>
  <c r="H30" i="6"/>
  <c r="G30" i="6"/>
  <c r="F30" i="6"/>
  <c r="E30" i="6"/>
  <c r="D30" i="6"/>
  <c r="C30" i="6"/>
  <c r="B30" i="6"/>
  <c r="W29" i="6"/>
  <c r="V29" i="6"/>
  <c r="U29" i="6"/>
  <c r="T29" i="6"/>
  <c r="S29" i="6"/>
  <c r="R29" i="6"/>
  <c r="Q29" i="6"/>
  <c r="P29" i="6"/>
  <c r="O29" i="6"/>
  <c r="N29" i="6"/>
  <c r="M29" i="6"/>
  <c r="L29" i="6"/>
  <c r="K29" i="6"/>
  <c r="J29" i="6"/>
  <c r="I29" i="6"/>
  <c r="H29" i="6"/>
  <c r="G29" i="6"/>
  <c r="F29" i="6"/>
  <c r="E29" i="6"/>
  <c r="D29" i="6"/>
  <c r="C29" i="6"/>
  <c r="B29" i="6"/>
  <c r="W28" i="6"/>
  <c r="V28" i="6"/>
  <c r="U28" i="6"/>
  <c r="T28" i="6"/>
  <c r="S28" i="6"/>
  <c r="R28" i="6"/>
  <c r="Q28" i="6"/>
  <c r="P28" i="6"/>
  <c r="O28" i="6"/>
  <c r="N28" i="6"/>
  <c r="M28" i="6"/>
  <c r="L28" i="6"/>
  <c r="K28" i="6"/>
  <c r="J28" i="6"/>
  <c r="I28" i="6"/>
  <c r="H28" i="6"/>
  <c r="G28" i="6"/>
  <c r="F28" i="6"/>
  <c r="E28" i="6"/>
  <c r="D28" i="6"/>
  <c r="C28" i="6"/>
  <c r="B28" i="6"/>
  <c r="W27" i="6"/>
  <c r="V27" i="6"/>
  <c r="U27" i="6"/>
  <c r="T27" i="6"/>
  <c r="S27" i="6"/>
  <c r="R27" i="6"/>
  <c r="Q27" i="6"/>
  <c r="P27" i="6"/>
  <c r="O27" i="6"/>
  <c r="N27" i="6"/>
  <c r="M27" i="6"/>
  <c r="L27" i="6"/>
  <c r="K27" i="6"/>
  <c r="J27" i="6"/>
  <c r="I27" i="6"/>
  <c r="H27" i="6"/>
  <c r="G27" i="6"/>
  <c r="F27" i="6"/>
  <c r="E27" i="6"/>
  <c r="D27" i="6"/>
  <c r="C27" i="6"/>
  <c r="B27" i="6"/>
  <c r="W26" i="6"/>
  <c r="V26" i="6"/>
  <c r="U26" i="6"/>
  <c r="T26" i="6"/>
  <c r="S26" i="6"/>
  <c r="R26" i="6"/>
  <c r="Q26" i="6"/>
  <c r="P26" i="6"/>
  <c r="O26" i="6"/>
  <c r="N26" i="6"/>
  <c r="M26" i="6"/>
  <c r="L26" i="6"/>
  <c r="K26" i="6"/>
  <c r="J26" i="6"/>
  <c r="I26" i="6"/>
  <c r="H26" i="6"/>
  <c r="G26" i="6"/>
  <c r="F26" i="6"/>
  <c r="E26" i="6"/>
  <c r="D26" i="6"/>
  <c r="C26" i="6"/>
  <c r="B26" i="6"/>
  <c r="W25" i="6"/>
  <c r="V25" i="6"/>
  <c r="U25" i="6"/>
  <c r="T25" i="6"/>
  <c r="S25" i="6"/>
  <c r="R25" i="6"/>
  <c r="Q25" i="6"/>
  <c r="P25" i="6"/>
  <c r="O25" i="6"/>
  <c r="N25" i="6"/>
  <c r="M25" i="6"/>
  <c r="L25" i="6"/>
  <c r="K25" i="6"/>
  <c r="J25" i="6"/>
  <c r="I25" i="6"/>
  <c r="H25" i="6"/>
  <c r="G25" i="6"/>
  <c r="F25" i="6"/>
  <c r="E25" i="6"/>
  <c r="D25" i="6"/>
  <c r="C25" i="6"/>
  <c r="B25" i="6"/>
  <c r="W24" i="6"/>
  <c r="V24" i="6"/>
  <c r="U24" i="6"/>
  <c r="T24" i="6"/>
  <c r="S24" i="6"/>
  <c r="R24" i="6"/>
  <c r="Q24" i="6"/>
  <c r="P24" i="6"/>
  <c r="O24" i="6"/>
  <c r="N24" i="6"/>
  <c r="M24" i="6"/>
  <c r="L24" i="6"/>
  <c r="K24" i="6"/>
  <c r="J24" i="6"/>
  <c r="I24" i="6"/>
  <c r="H24" i="6"/>
  <c r="G24" i="6"/>
  <c r="F24" i="6"/>
  <c r="E24" i="6"/>
  <c r="D24" i="6"/>
  <c r="C24" i="6"/>
  <c r="B24" i="6"/>
  <c r="W23" i="6"/>
  <c r="V23" i="6"/>
  <c r="U23" i="6"/>
  <c r="T23" i="6"/>
  <c r="S23" i="6"/>
  <c r="R23" i="6"/>
  <c r="Q23" i="6"/>
  <c r="P23" i="6"/>
  <c r="O23" i="6"/>
  <c r="N23" i="6"/>
  <c r="M23" i="6"/>
  <c r="L23" i="6"/>
  <c r="K23" i="6"/>
  <c r="J23" i="6"/>
  <c r="I23" i="6"/>
  <c r="H23" i="6"/>
  <c r="G23" i="6"/>
  <c r="F23" i="6"/>
  <c r="E23" i="6"/>
  <c r="D23" i="6"/>
  <c r="C23" i="6"/>
  <c r="B23" i="6"/>
  <c r="W22" i="6"/>
  <c r="V22" i="6"/>
  <c r="U22" i="6"/>
  <c r="T22" i="6"/>
  <c r="S22" i="6"/>
  <c r="R22" i="6"/>
  <c r="Q22" i="6"/>
  <c r="P22" i="6"/>
  <c r="O22" i="6"/>
  <c r="N22" i="6"/>
  <c r="M22" i="6"/>
  <c r="L22" i="6"/>
  <c r="K22" i="6"/>
  <c r="J22" i="6"/>
  <c r="I22" i="6"/>
  <c r="H22" i="6"/>
  <c r="G22" i="6"/>
  <c r="F22" i="6"/>
  <c r="E22" i="6"/>
  <c r="D22" i="6"/>
  <c r="C22" i="6"/>
  <c r="B22" i="6"/>
  <c r="W21" i="6"/>
  <c r="V21" i="6"/>
  <c r="U21" i="6"/>
  <c r="T21" i="6"/>
  <c r="S21" i="6"/>
  <c r="R21" i="6"/>
  <c r="Q21" i="6"/>
  <c r="P21" i="6"/>
  <c r="O21" i="6"/>
  <c r="N21" i="6"/>
  <c r="M21" i="6"/>
  <c r="L21" i="6"/>
  <c r="K21" i="6"/>
  <c r="J21" i="6"/>
  <c r="I21" i="6"/>
  <c r="H21" i="6"/>
  <c r="G21" i="6"/>
  <c r="F21" i="6"/>
  <c r="E21" i="6"/>
  <c r="D21" i="6"/>
  <c r="C21" i="6"/>
  <c r="B21" i="6"/>
  <c r="W20" i="6"/>
  <c r="V20" i="6"/>
  <c r="U20" i="6"/>
  <c r="T20" i="6"/>
  <c r="S20" i="6"/>
  <c r="R20" i="6"/>
  <c r="Q20" i="6"/>
  <c r="P20" i="6"/>
  <c r="O20" i="6"/>
  <c r="N20" i="6"/>
  <c r="M20" i="6"/>
  <c r="L20" i="6"/>
  <c r="K20" i="6"/>
  <c r="J20" i="6"/>
  <c r="I20" i="6"/>
  <c r="H20" i="6"/>
  <c r="G20" i="6"/>
  <c r="F20" i="6"/>
  <c r="E20" i="6"/>
  <c r="D20" i="6"/>
  <c r="C20" i="6"/>
  <c r="B20" i="6"/>
  <c r="W19" i="6"/>
  <c r="V19" i="6"/>
  <c r="U19" i="6"/>
  <c r="T19" i="6"/>
  <c r="S19" i="6"/>
  <c r="R19" i="6"/>
  <c r="Q19" i="6"/>
  <c r="P19" i="6"/>
  <c r="O19" i="6"/>
  <c r="N19" i="6"/>
  <c r="M19" i="6"/>
  <c r="L19" i="6"/>
  <c r="K19" i="6"/>
  <c r="J19" i="6"/>
  <c r="I19" i="6"/>
  <c r="H19" i="6"/>
  <c r="G19" i="6"/>
  <c r="F19" i="6"/>
  <c r="E19" i="6"/>
  <c r="D19" i="6"/>
  <c r="C19" i="6"/>
  <c r="B19" i="6"/>
  <c r="W18" i="6"/>
  <c r="V18" i="6"/>
  <c r="U18" i="6"/>
  <c r="T18" i="6"/>
  <c r="S18" i="6"/>
  <c r="R18" i="6"/>
  <c r="Q18" i="6"/>
  <c r="P18" i="6"/>
  <c r="O18" i="6"/>
  <c r="N18" i="6"/>
  <c r="M18" i="6"/>
  <c r="L18" i="6"/>
  <c r="K18" i="6"/>
  <c r="J18" i="6"/>
  <c r="I18" i="6"/>
  <c r="H18" i="6"/>
  <c r="G18" i="6"/>
  <c r="F18" i="6"/>
  <c r="E18" i="6"/>
  <c r="D18" i="6"/>
  <c r="C18" i="6"/>
  <c r="B18" i="6"/>
  <c r="W17" i="6"/>
  <c r="V17" i="6"/>
  <c r="U17" i="6"/>
  <c r="T17" i="6"/>
  <c r="S17" i="6"/>
  <c r="R17" i="6"/>
  <c r="Q17" i="6"/>
  <c r="P17" i="6"/>
  <c r="O17" i="6"/>
  <c r="N17" i="6"/>
  <c r="M17" i="6"/>
  <c r="L17" i="6"/>
  <c r="K17" i="6"/>
  <c r="J17" i="6"/>
  <c r="I17" i="6"/>
  <c r="H17" i="6"/>
  <c r="G17" i="6"/>
  <c r="F17" i="6"/>
  <c r="E17" i="6"/>
  <c r="D17" i="6"/>
  <c r="C17" i="6"/>
  <c r="B17" i="6"/>
  <c r="T43" i="3"/>
  <c r="S43" i="3"/>
  <c r="R43" i="3"/>
  <c r="Q43" i="3"/>
  <c r="P43" i="3"/>
  <c r="O43" i="3"/>
  <c r="N43" i="3"/>
  <c r="T42" i="3"/>
  <c r="S42" i="3"/>
  <c r="R42" i="3"/>
  <c r="Q42" i="3"/>
  <c r="P42" i="3"/>
  <c r="O42" i="3"/>
  <c r="N42" i="3"/>
  <c r="T41" i="3"/>
  <c r="S41" i="3"/>
  <c r="R41" i="3"/>
  <c r="Q41" i="3"/>
  <c r="P41" i="3"/>
  <c r="O41" i="3"/>
  <c r="N41" i="3"/>
  <c r="T40" i="3"/>
  <c r="S40" i="3"/>
  <c r="R40" i="3"/>
  <c r="Q40" i="3"/>
  <c r="P40" i="3"/>
  <c r="O40" i="3"/>
  <c r="N40" i="3"/>
  <c r="T39" i="3"/>
  <c r="S39" i="3"/>
  <c r="R39" i="3"/>
  <c r="Q39" i="3"/>
  <c r="P39" i="3"/>
  <c r="O39" i="3"/>
  <c r="N39" i="3"/>
  <c r="T38" i="3"/>
  <c r="S38" i="3"/>
  <c r="R38" i="3"/>
  <c r="Q38" i="3"/>
  <c r="P38" i="3"/>
  <c r="O38" i="3"/>
  <c r="N38" i="3"/>
  <c r="T37" i="3"/>
  <c r="S37" i="3"/>
  <c r="R37" i="3"/>
  <c r="Q37" i="3"/>
  <c r="P37" i="3"/>
  <c r="O37" i="3"/>
  <c r="N37" i="3"/>
  <c r="T36" i="3"/>
  <c r="S36" i="3"/>
  <c r="R36" i="3"/>
  <c r="Q36" i="3"/>
  <c r="P36" i="3"/>
  <c r="O36" i="3"/>
  <c r="N36" i="3"/>
  <c r="T35" i="3"/>
  <c r="S35" i="3"/>
  <c r="R35" i="3"/>
  <c r="Q35" i="3"/>
  <c r="P35" i="3"/>
  <c r="O35" i="3"/>
  <c r="N35" i="3"/>
  <c r="T34" i="3"/>
  <c r="S34" i="3"/>
  <c r="R34" i="3"/>
  <c r="Q34" i="3"/>
  <c r="P34" i="3"/>
  <c r="O34" i="3"/>
  <c r="N34" i="3"/>
  <c r="T33" i="3"/>
  <c r="S33" i="3"/>
  <c r="R33" i="3"/>
  <c r="Q33" i="3"/>
  <c r="P33" i="3"/>
  <c r="O33" i="3"/>
  <c r="N33" i="3"/>
  <c r="T32" i="3"/>
  <c r="S32" i="3"/>
  <c r="R32" i="3"/>
  <c r="Q32" i="3"/>
  <c r="P32" i="3"/>
  <c r="O32" i="3"/>
  <c r="N32" i="3"/>
  <c r="T31" i="3"/>
  <c r="S31" i="3"/>
  <c r="R31" i="3"/>
  <c r="Q31" i="3"/>
  <c r="P31" i="3"/>
  <c r="O31" i="3"/>
  <c r="N31" i="3"/>
  <c r="T30" i="3"/>
  <c r="S30" i="3"/>
  <c r="R30" i="3"/>
  <c r="Q30" i="3"/>
  <c r="P30" i="3"/>
  <c r="O30" i="3"/>
  <c r="N30" i="3"/>
  <c r="T29" i="3"/>
  <c r="S29" i="3"/>
  <c r="R29" i="3"/>
  <c r="P29" i="3"/>
  <c r="O29" i="3"/>
  <c r="N29" i="3"/>
  <c r="U23" i="3"/>
  <c r="T23" i="3"/>
  <c r="S23" i="3"/>
  <c r="R23" i="3"/>
  <c r="Q23" i="3"/>
  <c r="P23" i="3"/>
  <c r="O23" i="3"/>
  <c r="N23" i="3"/>
  <c r="M23" i="3"/>
  <c r="L23" i="3"/>
  <c r="K23" i="3"/>
  <c r="I23" i="3"/>
  <c r="H23" i="3"/>
  <c r="G23" i="3"/>
  <c r="F23" i="3"/>
  <c r="E23" i="3"/>
  <c r="D23" i="3"/>
  <c r="C23" i="3"/>
  <c r="B23" i="3"/>
  <c r="U22" i="3"/>
  <c r="T22" i="3"/>
  <c r="S22" i="3"/>
  <c r="R22" i="3"/>
  <c r="Q22" i="3"/>
  <c r="P22" i="3"/>
  <c r="O22" i="3"/>
  <c r="N22" i="3"/>
  <c r="M22" i="3"/>
  <c r="L22" i="3"/>
  <c r="K22" i="3"/>
  <c r="I22" i="3"/>
  <c r="H22" i="3"/>
  <c r="G22" i="3"/>
  <c r="F22" i="3"/>
  <c r="E22" i="3"/>
  <c r="D22" i="3"/>
  <c r="C22" i="3"/>
  <c r="B22" i="3"/>
  <c r="U21" i="3"/>
  <c r="T21" i="3"/>
  <c r="S21" i="3"/>
  <c r="R21" i="3"/>
  <c r="Q21" i="3"/>
  <c r="P21" i="3"/>
  <c r="O21" i="3"/>
  <c r="N21" i="3"/>
  <c r="M21" i="3"/>
  <c r="L21" i="3"/>
  <c r="K21" i="3"/>
  <c r="I21" i="3"/>
  <c r="H21" i="3"/>
  <c r="G21" i="3"/>
  <c r="F21" i="3"/>
  <c r="E21" i="3"/>
  <c r="D21" i="3"/>
  <c r="C21" i="3"/>
  <c r="B21" i="3"/>
  <c r="U20" i="3"/>
  <c r="T20" i="3"/>
  <c r="S20" i="3"/>
  <c r="R20" i="3"/>
  <c r="Q20" i="3"/>
  <c r="P20" i="3"/>
  <c r="O20" i="3"/>
  <c r="N20" i="3"/>
  <c r="M20" i="3"/>
  <c r="L20" i="3"/>
  <c r="K20" i="3"/>
  <c r="I20" i="3"/>
  <c r="H20" i="3"/>
  <c r="G20" i="3"/>
  <c r="F20" i="3"/>
  <c r="E20" i="3"/>
  <c r="D20" i="3"/>
  <c r="C20" i="3"/>
  <c r="B20" i="3"/>
  <c r="U19" i="3"/>
  <c r="T19" i="3"/>
  <c r="R19" i="3"/>
  <c r="Q19" i="3"/>
  <c r="O19" i="3"/>
  <c r="N19" i="3"/>
  <c r="L19" i="3"/>
  <c r="K19" i="3"/>
  <c r="I19" i="3"/>
  <c r="H19" i="3"/>
  <c r="G19" i="3"/>
  <c r="F19" i="3"/>
  <c r="E19" i="3"/>
  <c r="D19" i="3"/>
  <c r="C19" i="3"/>
  <c r="B19" i="3"/>
  <c r="U18" i="3"/>
  <c r="T18" i="3"/>
  <c r="S18" i="3"/>
  <c r="R18" i="3"/>
  <c r="Q18" i="3"/>
  <c r="P18" i="3"/>
  <c r="O18" i="3"/>
  <c r="N18" i="3"/>
  <c r="L18" i="3"/>
  <c r="K18" i="3"/>
  <c r="J18" i="3"/>
  <c r="I18" i="3"/>
  <c r="H18" i="3"/>
  <c r="G18" i="3"/>
  <c r="F18" i="3"/>
  <c r="E18" i="3"/>
  <c r="D18" i="3"/>
  <c r="C18" i="3"/>
  <c r="B18" i="3"/>
  <c r="U17" i="3"/>
  <c r="T17" i="3"/>
  <c r="S17" i="3"/>
  <c r="R17" i="3"/>
  <c r="Q17" i="3"/>
  <c r="O17" i="3"/>
  <c r="N17" i="3"/>
  <c r="L17" i="3"/>
  <c r="K17" i="3"/>
  <c r="I17" i="3"/>
  <c r="H17" i="3"/>
  <c r="G17" i="3"/>
  <c r="F17" i="3"/>
  <c r="E17" i="3"/>
  <c r="D17" i="3"/>
  <c r="C17" i="3"/>
  <c r="B17" i="3"/>
  <c r="U16" i="3"/>
  <c r="T16" i="3"/>
  <c r="R16" i="3"/>
  <c r="Q16" i="3"/>
  <c r="O16" i="3"/>
  <c r="N16" i="3"/>
  <c r="M16" i="3"/>
  <c r="L16" i="3"/>
  <c r="K16" i="3"/>
  <c r="I16" i="3"/>
  <c r="H16" i="3"/>
  <c r="G16" i="3"/>
  <c r="F16" i="3"/>
  <c r="E16" i="3"/>
  <c r="D16" i="3"/>
  <c r="C16" i="3"/>
  <c r="B16" i="3"/>
  <c r="U15" i="3"/>
  <c r="T15" i="3"/>
  <c r="R15" i="3"/>
  <c r="Q15" i="3"/>
  <c r="O15" i="3"/>
  <c r="N15" i="3"/>
  <c r="M15" i="3"/>
  <c r="L15" i="3"/>
  <c r="K15" i="3"/>
  <c r="I15" i="3"/>
  <c r="H15" i="3"/>
  <c r="G15" i="3"/>
  <c r="F15" i="3"/>
  <c r="E15" i="3"/>
  <c r="D15" i="3"/>
  <c r="C15" i="3"/>
  <c r="B15" i="3"/>
  <c r="U14" i="3"/>
  <c r="T14" i="3"/>
  <c r="R14" i="3"/>
  <c r="Q14" i="3"/>
  <c r="O14" i="3"/>
  <c r="N14" i="3"/>
  <c r="L14" i="3"/>
  <c r="K14" i="3"/>
  <c r="J14" i="3"/>
  <c r="I14" i="3"/>
  <c r="H14" i="3"/>
  <c r="G14" i="3"/>
  <c r="F14" i="3"/>
  <c r="E14" i="3"/>
  <c r="D14" i="3"/>
  <c r="C14" i="3"/>
  <c r="B14" i="3"/>
  <c r="U13" i="3"/>
  <c r="T13" i="3"/>
  <c r="R13" i="3"/>
  <c r="Q13" i="3"/>
  <c r="O13" i="3"/>
  <c r="N13" i="3"/>
  <c r="L13" i="3"/>
  <c r="K13" i="3"/>
  <c r="I13" i="3"/>
  <c r="H13" i="3"/>
  <c r="G13" i="3"/>
  <c r="F13" i="3"/>
  <c r="E13" i="3"/>
  <c r="D13" i="3"/>
  <c r="C13" i="3"/>
  <c r="B13" i="3"/>
  <c r="U12" i="3"/>
  <c r="T12" i="3"/>
  <c r="R12" i="3"/>
  <c r="Q12" i="3"/>
  <c r="O12" i="3"/>
  <c r="N12" i="3"/>
  <c r="L12" i="3"/>
  <c r="K12" i="3"/>
  <c r="I12" i="3"/>
  <c r="H12" i="3"/>
  <c r="G12" i="3"/>
  <c r="F12" i="3"/>
  <c r="E12" i="3"/>
  <c r="D12" i="3"/>
  <c r="C12" i="3"/>
  <c r="B12" i="3"/>
  <c r="U11" i="3"/>
  <c r="T11" i="3"/>
  <c r="S11" i="3"/>
  <c r="R11" i="3"/>
  <c r="Q11" i="3"/>
  <c r="P11" i="3"/>
  <c r="O11" i="3"/>
  <c r="N11" i="3"/>
  <c r="L11" i="3"/>
  <c r="K11" i="3"/>
  <c r="J11" i="3"/>
  <c r="I11" i="3"/>
  <c r="H11" i="3"/>
  <c r="G11" i="3"/>
  <c r="F11" i="3"/>
  <c r="E11" i="3"/>
  <c r="D11" i="3"/>
  <c r="C11" i="3"/>
  <c r="B11" i="3"/>
  <c r="U10" i="3"/>
  <c r="T10" i="3"/>
  <c r="R10" i="3"/>
  <c r="Q10" i="3"/>
  <c r="O10" i="3"/>
  <c r="N10" i="3"/>
  <c r="L10" i="3"/>
  <c r="K10" i="3"/>
  <c r="I10" i="3"/>
  <c r="H10" i="3"/>
  <c r="G10" i="3"/>
  <c r="F10" i="3"/>
  <c r="E10" i="3"/>
  <c r="D10" i="3"/>
  <c r="C10" i="3"/>
  <c r="B10" i="3"/>
  <c r="U9" i="3"/>
  <c r="T9" i="3"/>
  <c r="R9" i="3"/>
  <c r="Q9" i="3"/>
  <c r="O9" i="3"/>
  <c r="N9" i="3"/>
  <c r="L9" i="3"/>
  <c r="K9" i="3"/>
  <c r="I9" i="3"/>
  <c r="H9" i="3"/>
  <c r="G9" i="3"/>
  <c r="F9" i="3"/>
  <c r="E9" i="3"/>
  <c r="D9" i="3"/>
  <c r="C9" i="3"/>
  <c r="B9" i="3"/>
  <c r="U8" i="3"/>
  <c r="T8" i="3"/>
  <c r="R8" i="3"/>
  <c r="Q8" i="3"/>
  <c r="O8" i="3"/>
  <c r="N8" i="3"/>
  <c r="L8" i="3"/>
  <c r="K8" i="3"/>
  <c r="I8" i="3"/>
  <c r="H8" i="3"/>
  <c r="G8" i="3"/>
  <c r="F8" i="3"/>
  <c r="E8" i="3"/>
  <c r="D8" i="3"/>
  <c r="C8" i="3"/>
  <c r="B8" i="3"/>
  <c r="U7" i="3"/>
  <c r="T7" i="3"/>
  <c r="R7" i="3"/>
  <c r="Q7" i="3"/>
  <c r="O7" i="3"/>
  <c r="N7" i="3"/>
  <c r="L7" i="3"/>
  <c r="K7" i="3"/>
  <c r="I7" i="3"/>
  <c r="H7" i="3"/>
  <c r="G7" i="3"/>
  <c r="F7" i="3"/>
  <c r="E7" i="3"/>
  <c r="D7" i="3"/>
  <c r="C7" i="3"/>
  <c r="B7" i="3"/>
  <c r="U6" i="3"/>
  <c r="T6" i="3"/>
  <c r="S6" i="3"/>
  <c r="R6" i="3"/>
  <c r="Q6" i="3"/>
  <c r="P6" i="3"/>
  <c r="O6" i="3"/>
  <c r="N6" i="3"/>
  <c r="M6" i="3"/>
  <c r="L6" i="3"/>
  <c r="K6" i="3"/>
  <c r="I6" i="3"/>
  <c r="H6" i="3"/>
  <c r="G6" i="3"/>
  <c r="F6" i="3"/>
  <c r="E6" i="3"/>
  <c r="D6" i="3"/>
  <c r="C6" i="3"/>
  <c r="B6" i="3"/>
  <c r="U5" i="3"/>
  <c r="T5" i="3"/>
  <c r="S5" i="3"/>
  <c r="R5" i="3"/>
  <c r="Q5" i="3"/>
  <c r="P5" i="3"/>
  <c r="O5" i="3"/>
  <c r="N5" i="3"/>
  <c r="M5" i="3"/>
  <c r="L5" i="3"/>
  <c r="K5" i="3"/>
  <c r="I5" i="3"/>
  <c r="H5" i="3"/>
  <c r="G5" i="3"/>
  <c r="F5" i="3"/>
  <c r="E5" i="3"/>
  <c r="D5" i="3"/>
  <c r="C5" i="3"/>
  <c r="B5" i="3"/>
  <c r="U4" i="3"/>
  <c r="T4" i="3"/>
  <c r="R4" i="3"/>
  <c r="Q4" i="3"/>
  <c r="O4" i="3"/>
  <c r="N4" i="3"/>
  <c r="L4" i="3"/>
  <c r="K4" i="3"/>
  <c r="I4" i="3"/>
  <c r="H4" i="3"/>
  <c r="G4" i="3"/>
  <c r="F4" i="3"/>
  <c r="E4" i="3"/>
  <c r="D4" i="3"/>
  <c r="C4" i="3"/>
  <c r="B4" i="3"/>
  <c r="A4" i="3"/>
  <c r="I3" i="3"/>
  <c r="H3" i="3"/>
  <c r="G3" i="3"/>
  <c r="F3" i="3"/>
  <c r="E3" i="3"/>
  <c r="D3" i="3"/>
  <c r="C3" i="3"/>
  <c r="B3" i="3"/>
  <c r="L46" i="6"/>
  <c r="K46" i="6"/>
  <c r="J46" i="6"/>
  <c r="I46" i="6"/>
  <c r="H46" i="6"/>
  <c r="G46" i="6"/>
  <c r="F46" i="6"/>
  <c r="E46" i="6"/>
  <c r="D46" i="6"/>
  <c r="C46" i="6"/>
  <c r="B46" i="6"/>
  <c r="L45" i="6"/>
  <c r="K45" i="6"/>
  <c r="J45" i="6"/>
  <c r="I45" i="6"/>
  <c r="H45" i="6"/>
  <c r="G45" i="6"/>
  <c r="F45" i="6"/>
  <c r="E45" i="6"/>
  <c r="D45" i="6"/>
  <c r="C45" i="6"/>
  <c r="B45" i="6"/>
  <c r="L44" i="6"/>
  <c r="K44" i="6"/>
  <c r="J44" i="6"/>
  <c r="I44" i="6"/>
  <c r="H44" i="6"/>
  <c r="G44" i="6"/>
  <c r="F44" i="6"/>
  <c r="E44" i="6"/>
  <c r="D44" i="6"/>
  <c r="C44" i="6"/>
  <c r="B44" i="6"/>
  <c r="L43" i="6"/>
  <c r="K43" i="6"/>
  <c r="J43" i="6"/>
  <c r="I43" i="6"/>
  <c r="H43" i="6"/>
  <c r="G43" i="6"/>
  <c r="F43" i="6"/>
  <c r="E43" i="6"/>
  <c r="D43" i="6"/>
  <c r="C43" i="6"/>
  <c r="B43" i="6"/>
  <c r="L42" i="6"/>
  <c r="K42" i="6"/>
  <c r="J42" i="6"/>
  <c r="I42" i="6"/>
  <c r="H42" i="6"/>
  <c r="G42" i="6"/>
  <c r="F42" i="6"/>
  <c r="E42" i="6"/>
  <c r="D42" i="6"/>
  <c r="C42" i="6"/>
  <c r="B42" i="6"/>
  <c r="L41" i="6"/>
  <c r="K41" i="6"/>
  <c r="J41" i="6"/>
  <c r="I41" i="6"/>
  <c r="H41" i="6"/>
  <c r="G41" i="6"/>
  <c r="F41" i="6"/>
  <c r="E41" i="6"/>
  <c r="D41" i="6"/>
  <c r="C41" i="6"/>
  <c r="B41" i="6"/>
  <c r="L40" i="6"/>
  <c r="K40" i="6"/>
  <c r="J40" i="6"/>
  <c r="I40" i="6"/>
  <c r="H40" i="6"/>
  <c r="G40" i="6"/>
  <c r="F40" i="6"/>
  <c r="E40" i="6"/>
  <c r="D40" i="6"/>
  <c r="C40" i="6"/>
  <c r="B40" i="6"/>
  <c r="L39" i="6"/>
  <c r="K39" i="6"/>
  <c r="J39" i="6"/>
  <c r="I39" i="6"/>
  <c r="H39" i="6"/>
  <c r="G39" i="6"/>
  <c r="F39" i="6"/>
  <c r="E39" i="6"/>
  <c r="D39" i="6"/>
  <c r="C39" i="6"/>
  <c r="B39" i="6"/>
  <c r="L38" i="6"/>
  <c r="K38" i="6"/>
  <c r="J38" i="6"/>
  <c r="I38" i="6"/>
  <c r="H38" i="6"/>
  <c r="G38" i="6"/>
  <c r="F38" i="6"/>
  <c r="E38" i="6"/>
  <c r="D38" i="6"/>
  <c r="C38" i="6"/>
  <c r="B38" i="6"/>
  <c r="L37" i="6"/>
  <c r="K37" i="6"/>
  <c r="J37" i="6"/>
  <c r="I37" i="6"/>
  <c r="H37" i="6"/>
  <c r="G37" i="6"/>
  <c r="F37" i="6"/>
  <c r="E37" i="6"/>
  <c r="D37" i="6"/>
  <c r="C37" i="6"/>
  <c r="B37" i="6"/>
  <c r="K47" i="6"/>
  <c r="J47" i="6"/>
  <c r="I47" i="6"/>
  <c r="G47" i="6"/>
  <c r="E47" i="6"/>
  <c r="D47" i="6"/>
  <c r="C47" i="6"/>
  <c r="B47" i="6"/>
  <c r="J48" i="6"/>
  <c r="I48" i="6"/>
  <c r="H48" i="6"/>
  <c r="G48" i="6"/>
  <c r="F48" i="6"/>
  <c r="E48" i="6"/>
  <c r="D48" i="6"/>
  <c r="C48" i="6"/>
  <c r="B48" i="6"/>
  <c r="H49" i="6"/>
  <c r="G49" i="6"/>
  <c r="F49" i="6"/>
  <c r="E49" i="6"/>
  <c r="D49" i="6"/>
  <c r="C49" i="6"/>
  <c r="B49" i="6"/>
  <c r="G50" i="6"/>
  <c r="F50" i="6"/>
  <c r="E50" i="6"/>
  <c r="D50" i="6"/>
  <c r="C50" i="6"/>
  <c r="B50" i="6"/>
  <c r="E51" i="6"/>
  <c r="D51" i="6"/>
  <c r="C51" i="6"/>
  <c r="B51" i="6"/>
  <c r="D52" i="6"/>
  <c r="C52" i="6"/>
  <c r="B52" i="6"/>
  <c r="C53" i="6"/>
  <c r="B53" i="6"/>
  <c r="K51" i="1"/>
  <c r="J51" i="1"/>
  <c r="I51" i="1"/>
  <c r="K50" i="1"/>
  <c r="J50" i="1"/>
  <c r="X51" i="1"/>
  <c r="W51" i="1"/>
  <c r="V51" i="1"/>
  <c r="X50" i="1"/>
  <c r="W50" i="1"/>
  <c r="X37" i="1"/>
  <c r="W37" i="1"/>
  <c r="V37" i="1"/>
  <c r="X36" i="1"/>
  <c r="W36" i="1"/>
  <c r="K37" i="1"/>
  <c r="J37" i="1"/>
  <c r="I37" i="1"/>
  <c r="K36" i="1"/>
  <c r="J36" i="1"/>
  <c r="X31" i="1"/>
  <c r="W31" i="1"/>
  <c r="V31" i="1"/>
  <c r="U31" i="1"/>
  <c r="T31" i="1"/>
  <c r="S31" i="1"/>
  <c r="R31" i="1"/>
  <c r="Q31" i="1"/>
  <c r="P31" i="1"/>
  <c r="O31" i="1"/>
  <c r="N31" i="1"/>
  <c r="M31" i="1"/>
  <c r="L31" i="1"/>
  <c r="K31" i="1"/>
  <c r="J31" i="1"/>
  <c r="I31" i="1"/>
  <c r="H31" i="1"/>
  <c r="G31" i="1"/>
  <c r="F31" i="1"/>
  <c r="E31" i="1"/>
  <c r="D31" i="1"/>
  <c r="C31" i="1"/>
  <c r="B31" i="1"/>
  <c r="X30" i="1"/>
  <c r="W30" i="1"/>
  <c r="V30" i="1"/>
  <c r="U30" i="1"/>
  <c r="T30" i="1"/>
  <c r="S30" i="1"/>
  <c r="R30" i="1"/>
  <c r="Q30" i="1"/>
  <c r="P30" i="1"/>
  <c r="O30" i="1"/>
  <c r="N30" i="1"/>
  <c r="M30" i="1"/>
  <c r="L30" i="1"/>
  <c r="K30" i="1"/>
  <c r="J30" i="1"/>
  <c r="I30" i="1"/>
  <c r="H30" i="1"/>
  <c r="G30" i="1"/>
  <c r="F30" i="1"/>
  <c r="E30" i="1"/>
  <c r="D30" i="1"/>
  <c r="C30" i="1"/>
  <c r="B30" i="1"/>
  <c r="X29" i="1"/>
  <c r="W29" i="1"/>
  <c r="V29" i="1"/>
  <c r="U29" i="1"/>
  <c r="T29" i="1"/>
  <c r="S29" i="1"/>
  <c r="R29" i="1"/>
  <c r="Q29" i="1"/>
  <c r="P29" i="1"/>
  <c r="O29" i="1"/>
  <c r="N29" i="1"/>
  <c r="M29" i="1"/>
  <c r="L29" i="1"/>
  <c r="K29" i="1"/>
  <c r="J29" i="1"/>
  <c r="I29" i="1"/>
  <c r="H29" i="1"/>
  <c r="G29" i="1"/>
  <c r="F29" i="1"/>
  <c r="E29" i="1"/>
  <c r="D29" i="1"/>
  <c r="C29" i="1"/>
  <c r="B29" i="1"/>
  <c r="X28" i="1"/>
  <c r="W28" i="1"/>
  <c r="V28" i="1"/>
  <c r="U28" i="1"/>
  <c r="T28" i="1"/>
  <c r="S28" i="1"/>
  <c r="R28" i="1"/>
  <c r="Q28" i="1"/>
  <c r="P28" i="1"/>
  <c r="O28" i="1"/>
  <c r="N28" i="1"/>
  <c r="M28" i="1"/>
  <c r="L28" i="1"/>
  <c r="K28" i="1"/>
  <c r="J28" i="1"/>
  <c r="I28" i="1"/>
  <c r="H28" i="1"/>
  <c r="G28" i="1"/>
  <c r="F28" i="1"/>
  <c r="E28" i="1"/>
  <c r="D28" i="1"/>
  <c r="C28" i="1"/>
  <c r="B28" i="1"/>
  <c r="X27" i="1"/>
  <c r="W27" i="1"/>
  <c r="V27" i="1"/>
  <c r="U27" i="1"/>
  <c r="T27" i="1"/>
  <c r="S27" i="1"/>
  <c r="R27" i="1"/>
  <c r="Q27" i="1"/>
  <c r="P27" i="1"/>
  <c r="O27" i="1"/>
  <c r="N27" i="1"/>
  <c r="M27" i="1"/>
  <c r="L27" i="1"/>
  <c r="K27" i="1"/>
  <c r="J27" i="1"/>
  <c r="I27" i="1"/>
  <c r="H27" i="1"/>
  <c r="G27" i="1"/>
  <c r="F27" i="1"/>
  <c r="E27" i="1"/>
  <c r="D27" i="1"/>
  <c r="C27" i="1"/>
  <c r="B27" i="1"/>
  <c r="X26" i="1"/>
  <c r="W26" i="1"/>
  <c r="V26" i="1"/>
  <c r="U26" i="1"/>
  <c r="T26" i="1"/>
  <c r="S26" i="1"/>
  <c r="R26" i="1"/>
  <c r="Q26" i="1"/>
  <c r="P26" i="1"/>
  <c r="O26" i="1"/>
  <c r="N26" i="1"/>
  <c r="M26" i="1"/>
  <c r="L26" i="1"/>
  <c r="K26" i="1"/>
  <c r="J26" i="1"/>
  <c r="I26" i="1"/>
  <c r="H26" i="1"/>
  <c r="G26" i="1"/>
  <c r="F26" i="1"/>
  <c r="E26" i="1"/>
  <c r="D26" i="1"/>
  <c r="C26" i="1"/>
  <c r="B26" i="1"/>
  <c r="X25" i="1"/>
  <c r="W25" i="1"/>
  <c r="V25" i="1"/>
  <c r="U25" i="1"/>
  <c r="T25" i="1"/>
  <c r="S25" i="1"/>
  <c r="R25" i="1"/>
  <c r="Q25" i="1"/>
  <c r="P25" i="1"/>
  <c r="O25" i="1"/>
  <c r="N25" i="1"/>
  <c r="M25" i="1"/>
  <c r="L25" i="1"/>
  <c r="K25" i="1"/>
  <c r="J25" i="1"/>
  <c r="I25" i="1"/>
  <c r="H25" i="1"/>
  <c r="G25" i="1"/>
  <c r="F25" i="1"/>
  <c r="E25" i="1"/>
  <c r="D25" i="1"/>
  <c r="C25" i="1"/>
  <c r="B25" i="1"/>
  <c r="X24" i="1"/>
  <c r="W24" i="1"/>
  <c r="V24" i="1"/>
  <c r="U24" i="1"/>
  <c r="T24" i="1"/>
  <c r="S24" i="1"/>
  <c r="R24" i="1"/>
  <c r="Q24" i="1"/>
  <c r="P24" i="1"/>
  <c r="O24" i="1"/>
  <c r="N24" i="1"/>
  <c r="M24" i="1"/>
  <c r="L24" i="1"/>
  <c r="K24" i="1"/>
  <c r="J24" i="1"/>
  <c r="I24" i="1"/>
  <c r="H24" i="1"/>
  <c r="G24" i="1"/>
  <c r="F24" i="1"/>
  <c r="E24" i="1"/>
  <c r="D24" i="1"/>
  <c r="C24" i="1"/>
  <c r="B24" i="1"/>
  <c r="X23" i="1"/>
  <c r="W23" i="1"/>
  <c r="V23" i="1"/>
  <c r="U23" i="1"/>
  <c r="T23" i="1"/>
  <c r="S23" i="1"/>
  <c r="R23" i="1"/>
  <c r="Q23" i="1"/>
  <c r="P23" i="1"/>
  <c r="O23" i="1"/>
  <c r="N23" i="1"/>
  <c r="M23" i="1"/>
  <c r="L23" i="1"/>
  <c r="K23" i="1"/>
  <c r="J23" i="1"/>
  <c r="I23" i="1"/>
  <c r="H23" i="1"/>
  <c r="G23" i="1"/>
  <c r="F23" i="1"/>
  <c r="E23" i="1"/>
  <c r="D23" i="1"/>
  <c r="C23" i="1"/>
  <c r="B23" i="1"/>
  <c r="X22" i="1"/>
  <c r="W22" i="1"/>
  <c r="V22" i="1"/>
  <c r="U22" i="1"/>
  <c r="T22" i="1"/>
  <c r="S22" i="1"/>
  <c r="R22" i="1"/>
  <c r="Q22" i="1"/>
  <c r="P22" i="1"/>
  <c r="O22" i="1"/>
  <c r="N22" i="1"/>
  <c r="M22" i="1"/>
  <c r="L22" i="1"/>
  <c r="K22" i="1"/>
  <c r="J22" i="1"/>
  <c r="I22" i="1"/>
  <c r="H22" i="1"/>
  <c r="G22" i="1"/>
  <c r="F22" i="1"/>
  <c r="E22" i="1"/>
  <c r="D22" i="1"/>
  <c r="C22" i="1"/>
  <c r="B22" i="1"/>
  <c r="X21" i="1"/>
  <c r="W21" i="1"/>
  <c r="V21" i="1"/>
  <c r="U21" i="1"/>
  <c r="T21" i="1"/>
  <c r="S21" i="1"/>
  <c r="R21" i="1"/>
  <c r="Q21" i="1"/>
  <c r="P21" i="1"/>
  <c r="O21" i="1"/>
  <c r="N21" i="1"/>
  <c r="M21" i="1"/>
  <c r="L21" i="1"/>
  <c r="K21" i="1"/>
  <c r="J21" i="1"/>
  <c r="I21" i="1"/>
  <c r="H21" i="1"/>
  <c r="G21" i="1"/>
  <c r="F21" i="1"/>
  <c r="E21" i="1"/>
  <c r="D21" i="1"/>
  <c r="C21" i="1"/>
  <c r="B21" i="1"/>
  <c r="X20" i="1"/>
  <c r="W20" i="1"/>
  <c r="V20" i="1"/>
  <c r="U20" i="1"/>
  <c r="T20" i="1"/>
  <c r="S20" i="1"/>
  <c r="R20" i="1"/>
  <c r="Q20" i="1"/>
  <c r="P20" i="1"/>
  <c r="O20" i="1"/>
  <c r="N20" i="1"/>
  <c r="M20" i="1"/>
  <c r="L20" i="1"/>
  <c r="K20" i="1"/>
  <c r="J20" i="1"/>
  <c r="I20" i="1"/>
  <c r="H20" i="1"/>
  <c r="G20" i="1"/>
  <c r="F20" i="1"/>
  <c r="E20" i="1"/>
  <c r="D20" i="1"/>
  <c r="C20" i="1"/>
  <c r="B20" i="1"/>
  <c r="X19" i="1"/>
  <c r="W19" i="1"/>
  <c r="V19" i="1"/>
  <c r="U19" i="1"/>
  <c r="T19" i="1"/>
  <c r="S19" i="1"/>
  <c r="R19" i="1"/>
  <c r="Q19" i="1"/>
  <c r="P19" i="1"/>
  <c r="O19" i="1"/>
  <c r="N19" i="1"/>
  <c r="M19" i="1"/>
  <c r="L19" i="1"/>
  <c r="K19" i="1"/>
  <c r="J19" i="1"/>
  <c r="I19" i="1"/>
  <c r="H19" i="1"/>
  <c r="G19" i="1"/>
  <c r="F19" i="1"/>
  <c r="E19" i="1"/>
  <c r="D19" i="1"/>
  <c r="C19" i="1"/>
  <c r="B19" i="1"/>
  <c r="X18" i="1"/>
  <c r="W18" i="1"/>
  <c r="V18" i="1"/>
  <c r="U18" i="1"/>
  <c r="T18" i="1"/>
  <c r="S18" i="1"/>
  <c r="R18" i="1"/>
  <c r="Q18" i="1"/>
  <c r="P18" i="1"/>
  <c r="O18" i="1"/>
  <c r="N18" i="1"/>
  <c r="M18" i="1"/>
  <c r="L18" i="1"/>
  <c r="K18" i="1"/>
  <c r="J18" i="1"/>
  <c r="I18" i="1"/>
  <c r="H18" i="1"/>
  <c r="G18" i="1"/>
  <c r="F18" i="1"/>
  <c r="E18" i="1"/>
  <c r="D18" i="1"/>
  <c r="C18" i="1"/>
  <c r="B18" i="1"/>
  <c r="X17" i="1"/>
  <c r="W17" i="1"/>
  <c r="V17" i="1"/>
  <c r="U17" i="1"/>
  <c r="T17" i="1"/>
  <c r="S17" i="1"/>
  <c r="R17" i="1"/>
  <c r="Q17" i="1"/>
  <c r="P17" i="1"/>
  <c r="O17" i="1"/>
  <c r="N17" i="1"/>
  <c r="M17" i="1"/>
  <c r="L17" i="1"/>
  <c r="K17" i="1"/>
  <c r="J17" i="1"/>
  <c r="I17" i="1"/>
  <c r="H17" i="1"/>
  <c r="G17" i="1"/>
  <c r="F17" i="1"/>
  <c r="E17" i="1"/>
  <c r="D17" i="1"/>
  <c r="C17" i="1"/>
  <c r="B17" i="1"/>
  <c r="B7" i="9"/>
  <c r="B6" i="9"/>
  <c r="D48" i="7"/>
  <c r="A38" i="6" l="1"/>
  <c r="C36" i="6"/>
  <c r="A18" i="6"/>
  <c r="C16" i="6"/>
  <c r="A19" i="6" l="1"/>
  <c r="A39" i="6"/>
  <c r="D16" i="6"/>
  <c r="E16" i="6" s="1"/>
  <c r="D36" i="6"/>
  <c r="A40" i="6" l="1"/>
  <c r="A41" i="6" s="1"/>
  <c r="A20" i="6"/>
  <c r="F16" i="6"/>
  <c r="E36" i="6"/>
  <c r="A21" i="6" l="1"/>
  <c r="A42" i="6"/>
  <c r="F36" i="6"/>
  <c r="G16" i="6"/>
  <c r="A22" i="6" l="1"/>
  <c r="G36" i="6"/>
  <c r="A43" i="6"/>
  <c r="H16" i="6"/>
  <c r="A23" i="6" l="1"/>
  <c r="I16" i="6"/>
  <c r="A44" i="6"/>
  <c r="H36" i="6"/>
  <c r="A24" i="6" l="1"/>
  <c r="A45" i="6"/>
  <c r="J16" i="6"/>
  <c r="I36" i="6"/>
  <c r="A25" i="6" l="1"/>
  <c r="A46" i="6"/>
  <c r="J36" i="6"/>
  <c r="K16" i="6"/>
  <c r="A26" i="6" l="1"/>
  <c r="K36" i="6"/>
  <c r="A47" i="6"/>
  <c r="L16" i="6"/>
  <c r="A27" i="6" l="1"/>
  <c r="A48" i="6"/>
  <c r="M16" i="6"/>
  <c r="L36" i="6"/>
  <c r="A28" i="6" l="1"/>
  <c r="A49" i="6"/>
  <c r="N16" i="6"/>
  <c r="A29" i="6" l="1"/>
  <c r="O16" i="6"/>
  <c r="A50" i="6"/>
  <c r="A30" i="6" l="1"/>
  <c r="A51" i="6"/>
  <c r="P16" i="6"/>
  <c r="A31" i="6" l="1"/>
  <c r="Q16" i="6"/>
  <c r="A52" i="6"/>
  <c r="A32" i="6" l="1"/>
  <c r="A53" i="6"/>
  <c r="R16" i="6"/>
  <c r="A33" i="6" l="1"/>
  <c r="S16" i="6"/>
  <c r="A34" i="6" l="1"/>
  <c r="T16" i="6"/>
  <c r="U16" i="6" l="1"/>
  <c r="V16" i="6" l="1"/>
  <c r="W16" i="6" l="1"/>
  <c r="C16" i="1" l="1"/>
  <c r="D16" i="1" l="1"/>
  <c r="A18" i="1"/>
  <c r="E16" i="1" l="1"/>
  <c r="F16" i="1" s="1"/>
  <c r="A19" i="1"/>
  <c r="A20" i="1" l="1"/>
  <c r="G16" i="1"/>
  <c r="A21" i="1" l="1"/>
  <c r="H16" i="1"/>
  <c r="A22" i="1" l="1"/>
  <c r="I16" i="1"/>
  <c r="A23" i="1" l="1"/>
  <c r="J16" i="1"/>
  <c r="A24" i="1" l="1"/>
  <c r="K16" i="1"/>
  <c r="A25" i="1" l="1"/>
  <c r="L16" i="1"/>
  <c r="A26" i="1" l="1"/>
  <c r="M16" i="1"/>
  <c r="A27" i="1" l="1"/>
  <c r="N16" i="1"/>
  <c r="A28" i="1" l="1"/>
  <c r="O16" i="1"/>
  <c r="A29" i="1" l="1"/>
  <c r="P16" i="1"/>
  <c r="A30" i="1" l="1"/>
  <c r="Q16" i="1"/>
  <c r="R16" i="1" l="1"/>
  <c r="S16" i="1" l="1"/>
  <c r="T16" i="1" l="1"/>
  <c r="U16" i="1" l="1"/>
  <c r="V16" i="1" l="1"/>
  <c r="W16" i="1" l="1"/>
  <c r="X16" i="1" l="1"/>
</calcChain>
</file>

<file path=xl/sharedStrings.xml><?xml version="1.0" encoding="utf-8"?>
<sst xmlns="http://schemas.openxmlformats.org/spreadsheetml/2006/main" count="165" uniqueCount="123">
  <si>
    <t>Couleurs</t>
  </si>
  <si>
    <t>Pack radio homme présent</t>
  </si>
  <si>
    <t>Pack radio MN</t>
  </si>
  <si>
    <t>Pack Rollixo IO</t>
  </si>
  <si>
    <t>Cellules photoélectiques</t>
  </si>
  <si>
    <t>Feu orange</t>
  </si>
  <si>
    <t>Eclairage de zone</t>
  </si>
  <si>
    <t>Inverseur à clé radio</t>
  </si>
  <si>
    <t>Bouton poussoir radio</t>
  </si>
  <si>
    <t>Barre palpeuse</t>
  </si>
  <si>
    <t>Non dispo</t>
  </si>
  <si>
    <t>Options pour porte de garage</t>
  </si>
  <si>
    <t>Moins value commande de secours</t>
  </si>
  <si>
    <t>H/L</t>
  </si>
  <si>
    <t>Porte de garage enroulable ECOPARK</t>
  </si>
  <si>
    <t>Pose en applique : largeur fabrication = largeur tableau + 190 - Hauteur fabrication = hauteur tableau + 300</t>
  </si>
  <si>
    <t>Pose en applique : largeur fabrication = largeur tableau + 190 - Hauteur fabrication = hauteur tableau + 360</t>
  </si>
  <si>
    <t>Inverseur à clé filaire</t>
  </si>
  <si>
    <t>Bouton poussoir filaire</t>
  </si>
  <si>
    <t>Porte de garage enroulable ROLLPARK - Options</t>
  </si>
  <si>
    <t>Porte de garage enroulable ROLLPARK</t>
  </si>
  <si>
    <t xml:space="preserve"> + Pack homme présent</t>
  </si>
  <si>
    <t>RAPPEL DE LA REGLEMENTATION</t>
  </si>
  <si>
    <t>Pare-chute</t>
  </si>
  <si>
    <t>permet de retenir la porte de garage en toutes circonstances</t>
  </si>
  <si>
    <t>stoppe la descente du volet en cas de rencontre avec un obstable</t>
  </si>
  <si>
    <t>Feu clignotant</t>
  </si>
  <si>
    <t>avertit l'extérieur de tout mouvement de la porte</t>
  </si>
  <si>
    <t>Cellules photoélectriques</t>
  </si>
  <si>
    <t>bloque tout mouvement de la porte si un obstable est détecté</t>
  </si>
  <si>
    <t>Avec commande radio</t>
  </si>
  <si>
    <t>Cette configuration impose un degré de sécurité encore moins important. Un seul élément de sécurité à prévoir</t>
  </si>
  <si>
    <r>
      <rPr>
        <b/>
        <sz val="14"/>
        <color theme="4" tint="-0.499984740745262"/>
        <rFont val="Calibri"/>
        <family val="2"/>
        <scheme val="minor"/>
      </rPr>
      <t xml:space="preserve">Ouverture donnant sur une zone privée </t>
    </r>
    <r>
      <rPr>
        <b/>
        <sz val="10"/>
        <color theme="4" tint="-0.499984740745262"/>
        <rFont val="Calibri"/>
        <family val="2"/>
        <scheme val="minor"/>
      </rPr>
      <t>(exemple : donnant dans une cours fermée)</t>
    </r>
  </si>
  <si>
    <t>Volet rénovation coffre 300 - Lame alu 77 - Motorisation SOMFY filaire à cde de secours</t>
  </si>
  <si>
    <t>Volet rénovation coffre 360 - Lame alu 77 - Motorisation SOMFY filaire à cde de secours</t>
  </si>
  <si>
    <t xml:space="preserve"> + Pack Rollixo io</t>
  </si>
  <si>
    <t>Pack Rollixo io Somfy</t>
  </si>
  <si>
    <t>Pack Axroll RTS Somfy</t>
  </si>
  <si>
    <t xml:space="preserve"> + Pack radio MN Fermetures</t>
  </si>
  <si>
    <t>Pack radio MN Fermetures</t>
  </si>
  <si>
    <t>SOMMAIRE</t>
  </si>
  <si>
    <t>Porte ROLLPARK 300 et 360</t>
  </si>
  <si>
    <t>Conditions générales de vente</t>
  </si>
  <si>
    <t>Options</t>
  </si>
  <si>
    <t>Contact à clé radio</t>
  </si>
  <si>
    <t>Voir page 6</t>
  </si>
  <si>
    <t>PACK RADIO PORTE DE GARAGE "HOMME PRESENT"</t>
  </si>
  <si>
    <t>Armoire de commande monophasée Homme Présent via</t>
  </si>
  <si>
    <t>Radio pour les portes enroulables</t>
  </si>
  <si>
    <t>Peut fonctionner en mode :</t>
  </si>
  <si>
    <t xml:space="preserve"> - Homme présent : maintien continu sur le bouton de la télécommande pour la montée et la descente du volet</t>
  </si>
  <si>
    <r>
      <t xml:space="preserve"> - Semi-automatique : </t>
    </r>
    <r>
      <rPr>
        <sz val="11"/>
        <color theme="1"/>
        <rFont val="Calibri"/>
        <family val="2"/>
        <scheme val="minor"/>
      </rPr>
      <t>ouverture automatique, fermeture homme présent</t>
    </r>
  </si>
  <si>
    <r>
      <rPr>
        <b/>
        <sz val="11"/>
        <color theme="1"/>
        <rFont val="Calibri"/>
        <family val="2"/>
        <scheme val="minor"/>
      </rPr>
      <t xml:space="preserve"> - Ouverture :</t>
    </r>
    <r>
      <rPr>
        <sz val="11"/>
        <color theme="1"/>
        <rFont val="Calibri"/>
        <family val="2"/>
        <scheme val="minor"/>
      </rPr>
      <t xml:space="preserve"> 1 seule impulsion sur la télécommande pour l'ouverture complète</t>
    </r>
  </si>
  <si>
    <r>
      <rPr>
        <b/>
        <sz val="11"/>
        <color theme="1"/>
        <rFont val="Calibri"/>
        <family val="2"/>
        <scheme val="minor"/>
      </rPr>
      <t xml:space="preserve"> - Fermeture :</t>
    </r>
    <r>
      <rPr>
        <sz val="11"/>
        <color theme="1"/>
        <rFont val="Calibri"/>
        <family val="2"/>
        <scheme val="minor"/>
      </rPr>
      <t xml:space="preserve"> par maintien continu sur le bouton de la télécommande</t>
    </r>
  </si>
  <si>
    <t>Volet rénovation coffre 250 - Lame aluminium 55</t>
  </si>
  <si>
    <t>Motorisation MN filaire à cde de secours - Pack radio "homme présent"</t>
  </si>
  <si>
    <t>Composition du pack</t>
  </si>
  <si>
    <t>Télécommande Keygo</t>
  </si>
  <si>
    <t>Télécommande Keytis 2</t>
  </si>
  <si>
    <t>Commande de secours à clé (1)</t>
  </si>
  <si>
    <t>Commande de secours à renvoi extérieur (coulisse) (2)</t>
  </si>
  <si>
    <t>Commande de secours à renvoi extérieur (mur) (3)</t>
  </si>
  <si>
    <t>Standard</t>
  </si>
  <si>
    <t>(1) A clé</t>
  </si>
  <si>
    <t>(2) A renvoi extérieur (coulisse)</t>
  </si>
  <si>
    <t>(3) A renvoi extérieur (mur)</t>
  </si>
  <si>
    <t>Les commandes de secours</t>
  </si>
  <si>
    <t>*Cotes tableau fini pour pose du volet en applique intérieure</t>
  </si>
  <si>
    <t>Coffre pan coupé aluminium section 250 - Coulisse aluminium 75x27 - Lames aluminium 55 - Verrouillage par verrous rigides - Coloris blanc ou gris 7016 - Moteur à commande de secours avec genouillère standard - Pack radio homme présent (armoire de commande, 2 télécommandes, pare-chute)</t>
  </si>
  <si>
    <t>Ces options sont destinées à être ajoutées au prix du volet roulant rénovation coffre 300 ou 360</t>
  </si>
  <si>
    <t>Lame hublot* (uniquement avec la lame 77)</t>
  </si>
  <si>
    <t>Lame ventilée* (uniquement avec la lame 77)</t>
  </si>
  <si>
    <t>* Prix pour coloris blanc ou RAL 7016. Autres couleurs ajouter la plus value couleur page 7</t>
  </si>
  <si>
    <t>Digicode radio</t>
  </si>
  <si>
    <t>Armoire radio MN seule + prise câble 2m</t>
  </si>
  <si>
    <t>Kit radio homme présent (Armoire de cde + 2 télécommandes) + prise câble 2m</t>
  </si>
  <si>
    <t xml:space="preserve">     </t>
  </si>
  <si>
    <r>
      <rPr>
        <b/>
        <sz val="11"/>
        <color theme="4" tint="-0.499984740745262"/>
        <rFont val="Calibri"/>
        <family val="2"/>
        <scheme val="minor"/>
      </rPr>
      <t>Ouverture donnant sur une zone publique (exemple : donnant directement sur la rue)</t>
    </r>
    <r>
      <rPr>
        <b/>
        <sz val="12"/>
        <color theme="1"/>
        <rFont val="Calibri"/>
        <family val="2"/>
        <scheme val="minor"/>
      </rPr>
      <t/>
    </r>
  </si>
  <si>
    <t>Télécommande 2 points BE2-HP</t>
  </si>
  <si>
    <t>Télécommande Keygo RTS</t>
  </si>
  <si>
    <t>Télécommande Keygo io</t>
  </si>
  <si>
    <t>Kit inverseur + contact à clé + télérupteur</t>
  </si>
  <si>
    <t>Lecture tarif et dimensions de commande =  Largeur tableau x Hauteur tableau*</t>
  </si>
  <si>
    <t>Lecture tarif et dimensions de commande =  Largeur dos de coulisse x Hauteur coffre compris</t>
  </si>
  <si>
    <t>Genouillère aimantée</t>
  </si>
  <si>
    <t>Barre palpeuse pour ROLLIXO io</t>
  </si>
  <si>
    <t>Options pour volet rénovation</t>
  </si>
  <si>
    <t>Coffre 300</t>
  </si>
  <si>
    <t>Coffre 360</t>
  </si>
  <si>
    <t>Coffre pan coupé aluminium section 300 - Coulisse aluminium 95x34 - Lames aluminium 77 - Verrouillage par verrous automatiques - Coloris standards (blanc - marron - gris 7016 - ivoire - gris AS - gris 7038) - Moteur à commande de secours avec genouillère standard</t>
  </si>
  <si>
    <t>Coffre pan coupé aluminium section 360 - Coulisse aluminium 95x34 - Lames aluminium 77 - Verrouillage par verrous automatiques - Coloris standards (blanc - marron - gris 7016 - ivoire - gris AS - gris 7038) - Moteur à commande de secours avec genouillère standard - Consoles roulantes</t>
  </si>
  <si>
    <t>Avec commande filaire ou radio maintenue</t>
  </si>
  <si>
    <t>Cette configuration impose un degré de sécurité assez important. Nécessite la mise en place de 4 éléments de sécurité sur la porte de garage :</t>
  </si>
  <si>
    <t>Cette configuration impose un degré de sécurité moins important. Nécessite la mise en place de 2 éléments de sécurité sur la porte de garage</t>
  </si>
  <si>
    <t>Transport par nos services 4000 mm maxi</t>
  </si>
  <si>
    <t>Poids &gt; 60kg : tablier non monté dans le coffre</t>
  </si>
  <si>
    <t xml:space="preserve">   </t>
  </si>
  <si>
    <t>OPTIONS</t>
  </si>
  <si>
    <t>COULEURS</t>
  </si>
  <si>
    <t xml:space="preserve"> + Pack Rollixo OPTIMO RTS</t>
  </si>
  <si>
    <t>Boîtier de compatibilité avec motorisation portail de clôture existant</t>
  </si>
  <si>
    <t>Barre palpeuse pour Rollixo OPTIMO RTS ou RADIO MN</t>
  </si>
  <si>
    <t>Equerre de renfort (pour pose en tableau)</t>
  </si>
  <si>
    <t>Télécommande 4 points QCTE</t>
  </si>
  <si>
    <t>Pack Optimo RTS</t>
  </si>
  <si>
    <t>Bons de commande</t>
  </si>
  <si>
    <t>Porte ECOPARK</t>
  </si>
  <si>
    <t>Rollixo OPTIMO RTS seul + prise câble 2m*</t>
  </si>
  <si>
    <t>Rollixo io + buzzer + 2 Keygo io + prise câble 2m*</t>
  </si>
  <si>
    <t>* Attention, les armoires de commande OPTIMO RTS et ROLLIXO io nécessitent obligatoirement une barre palpeuse</t>
  </si>
  <si>
    <t>Voir page 11</t>
  </si>
  <si>
    <t>Indiquez votre remise vous obtiendrez vos prix d'achat</t>
  </si>
  <si>
    <t>Indiquez votre remise, votre coefficient de vente et/ou votre forfait de pose vous obtiendrez vos prix de vente</t>
  </si>
  <si>
    <t>Remise</t>
  </si>
  <si>
    <t>Coefficient</t>
  </si>
  <si>
    <t>Forfait de pose</t>
  </si>
  <si>
    <t>Ne s'applique pas sur les prix des options, uniquement sur les grilles produits</t>
  </si>
  <si>
    <t>rem/coef</t>
  </si>
  <si>
    <t>a multiplier</t>
  </si>
  <si>
    <t>forfait</t>
  </si>
  <si>
    <t>a ajouter</t>
  </si>
  <si>
    <t>Tarif public H.T. 2026</t>
  </si>
  <si>
    <t>Tarif NET H.T.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</si>
</sst>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
    <numFmt numFmtId="165" formatCode="#,##0.00\ &quot;€&quot;&quot;/ml&quot;"/>
    <numFmt numFmtId="166" formatCode="#,##0.00\ &quot;€&quot;&quot;/unité&quot;"/>
  </numFmts>
  <fonts count="30"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b/>
      <sz val="10"/>
      <color theme="0"/>
      <name val="Calibri"/>
      <family val="2"/>
      <scheme val="minor"/>
    </font>
    <font>
      <sz val="10"/>
      <color theme="1"/>
      <name val="Calibri"/>
      <family val="2"/>
      <scheme val="minor"/>
    </font>
    <font>
      <b/>
      <sz val="10"/>
      <name val="Calibri"/>
      <family val="2"/>
      <scheme val="minor"/>
    </font>
    <font>
      <sz val="11"/>
      <color theme="0"/>
      <name val="Calibri"/>
      <family val="2"/>
      <scheme val="minor"/>
    </font>
    <font>
      <sz val="9"/>
      <color theme="1"/>
      <name val="Calibri"/>
      <family val="2"/>
      <scheme val="minor"/>
    </font>
    <font>
      <b/>
      <sz val="16"/>
      <color theme="0"/>
      <name val="Calibri"/>
      <family val="2"/>
      <scheme val="minor"/>
    </font>
    <font>
      <b/>
      <sz val="16"/>
      <color theme="4" tint="-0.499984740745262"/>
      <name val="Calibri"/>
      <family val="2"/>
      <scheme val="minor"/>
    </font>
    <font>
      <b/>
      <sz val="9"/>
      <color theme="0"/>
      <name val="Calibri"/>
      <family val="2"/>
      <scheme val="minor"/>
    </font>
    <font>
      <b/>
      <sz val="8"/>
      <name val="Calibri"/>
      <family val="2"/>
      <scheme val="minor"/>
    </font>
    <font>
      <b/>
      <sz val="11"/>
      <color theme="4" tint="-0.499984740745262"/>
      <name val="Calibri"/>
      <family val="2"/>
      <scheme val="minor"/>
    </font>
    <font>
      <b/>
      <sz val="12"/>
      <color theme="4" tint="-0.499984740745262"/>
      <name val="Calibri"/>
      <family val="2"/>
      <scheme val="minor"/>
    </font>
    <font>
      <b/>
      <sz val="14"/>
      <color theme="4" tint="-0.499984740745262"/>
      <name val="Calibri"/>
      <family val="2"/>
      <scheme val="minor"/>
    </font>
    <font>
      <b/>
      <sz val="14"/>
      <color theme="0"/>
      <name val="Calibri"/>
      <family val="2"/>
      <scheme val="minor"/>
    </font>
    <font>
      <b/>
      <sz val="10"/>
      <color theme="1"/>
      <name val="Calibri"/>
      <family val="2"/>
      <scheme val="minor"/>
    </font>
    <font>
      <b/>
      <sz val="9"/>
      <color theme="1"/>
      <name val="Calibri"/>
      <family val="2"/>
      <scheme val="minor"/>
    </font>
    <font>
      <b/>
      <sz val="12"/>
      <color theme="1"/>
      <name val="Calibri"/>
      <family val="2"/>
      <scheme val="minor"/>
    </font>
    <font>
      <b/>
      <sz val="10"/>
      <color theme="4" tint="-0.499984740745262"/>
      <name val="Calibri"/>
      <family val="2"/>
      <scheme val="minor"/>
    </font>
    <font>
      <b/>
      <sz val="14"/>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26"/>
      <color theme="4" tint="-0.499984740745262"/>
      <name val="Calibri"/>
      <family val="2"/>
      <scheme val="minor"/>
    </font>
    <font>
      <b/>
      <sz val="20"/>
      <color theme="0"/>
      <name val="Calibri"/>
      <family val="2"/>
      <scheme val="minor"/>
    </font>
    <font>
      <sz val="9"/>
      <color rgb="FFFF0000"/>
      <name val="Calibri"/>
      <family val="2"/>
      <scheme val="minor"/>
    </font>
    <font>
      <sz val="9"/>
      <color theme="0"/>
      <name val="Calibri"/>
      <family val="2"/>
      <scheme val="minor"/>
    </font>
    <font>
      <sz val="18"/>
      <color theme="1"/>
      <name val="Calibri"/>
      <family val="2"/>
      <scheme val="minor"/>
    </font>
  </fonts>
  <fills count="9">
    <fill>
      <patternFill patternType="none"/>
    </fill>
    <fill>
      <patternFill patternType="gray125"/>
    </fill>
    <fill>
      <patternFill patternType="solid">
        <fgColor theme="7"/>
        <bgColor indexed="64"/>
      </patternFill>
    </fill>
    <fill>
      <patternFill patternType="solid">
        <fgColor theme="7" tint="0.5999938962981048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dashed">
        <color indexed="64"/>
      </top>
      <bottom/>
      <diagonal/>
    </border>
    <border>
      <left style="thin">
        <color indexed="64"/>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s>
  <cellStyleXfs count="1">
    <xf numFmtId="0" fontId="0" fillId="0" borderId="0"/>
  </cellStyleXfs>
  <cellXfs count="159">
    <xf numFmtId="0" fontId="0" fillId="0" borderId="0" xfId="0"/>
    <xf numFmtId="0" fontId="24" fillId="0" borderId="0" xfId="0" applyFont="1"/>
    <xf numFmtId="0" fontId="24" fillId="0" borderId="0" xfId="0" applyFont="1" applyAlignment="1">
      <alignment horizontal="right"/>
    </xf>
    <xf numFmtId="9" fontId="29" fillId="8" borderId="1" xfId="0" applyNumberFormat="1" applyFont="1" applyFill="1" applyBorder="1" applyAlignment="1">
      <alignment horizontal="center"/>
    </xf>
    <xf numFmtId="0" fontId="29" fillId="0" borderId="0" xfId="0" applyFont="1" applyAlignment="1">
      <alignment horizontal="center"/>
    </xf>
    <xf numFmtId="0" fontId="29" fillId="8" borderId="1" xfId="0" applyFont="1" applyFill="1" applyBorder="1" applyAlignment="1">
      <alignment horizontal="center"/>
    </xf>
    <xf numFmtId="164" fontId="29" fillId="8" borderId="1" xfId="0" applyNumberFormat="1" applyFont="1" applyFill="1" applyBorder="1" applyAlignment="1">
      <alignment horizontal="center"/>
    </xf>
    <xf numFmtId="0" fontId="0" fillId="0" borderId="0" xfId="0" applyProtection="1">
      <protection locked="0" hidden="1"/>
    </xf>
    <xf numFmtId="0" fontId="8" fillId="0" borderId="0" xfId="0" applyFont="1" applyProtection="1">
      <protection hidden="1"/>
    </xf>
    <xf numFmtId="0" fontId="0" fillId="0" borderId="0" xfId="0" applyProtection="1">
      <protection hidden="1"/>
    </xf>
    <xf numFmtId="0" fontId="2" fillId="0" borderId="1" xfId="0" applyFont="1" applyBorder="1" applyAlignment="1" applyProtection="1">
      <alignment horizontal="center" vertical="center"/>
      <protection hidden="1"/>
    </xf>
    <xf numFmtId="0" fontId="0" fillId="0" borderId="0" xfId="0" applyAlignment="1" applyProtection="1">
      <alignment wrapText="1"/>
      <protection locked="0" hidden="1"/>
    </xf>
    <xf numFmtId="0" fontId="0" fillId="0" borderId="0" xfId="0" applyAlignment="1" applyProtection="1">
      <alignment horizontal="left" wrapText="1"/>
      <protection locked="0" hidden="1"/>
    </xf>
    <xf numFmtId="0" fontId="2" fillId="0" borderId="0" xfId="0" applyFont="1" applyProtection="1">
      <protection locked="0" hidden="1"/>
    </xf>
    <xf numFmtId="0" fontId="8" fillId="0" borderId="0" xfId="0" applyFont="1" applyProtection="1">
      <protection locked="0" hidden="1"/>
    </xf>
    <xf numFmtId="0" fontId="2" fillId="0" borderId="1" xfId="0" applyFont="1" applyBorder="1" applyAlignment="1" applyProtection="1">
      <alignment horizontal="center" vertical="center"/>
      <protection locked="0" hidden="1"/>
    </xf>
    <xf numFmtId="0" fontId="0" fillId="0" borderId="12" xfId="0" applyBorder="1" applyProtection="1">
      <protection locked="0" hidden="1"/>
    </xf>
    <xf numFmtId="0" fontId="2" fillId="0" borderId="18" xfId="0" applyFont="1" applyBorder="1" applyAlignment="1" applyProtection="1">
      <alignment horizontal="center" vertical="center"/>
      <protection locked="0" hidden="1"/>
    </xf>
    <xf numFmtId="0" fontId="3" fillId="0" borderId="0" xfId="0" applyFont="1" applyProtection="1">
      <protection locked="0" hidden="1"/>
    </xf>
    <xf numFmtId="0" fontId="12" fillId="2" borderId="2" xfId="0" applyFont="1" applyFill="1" applyBorder="1" applyAlignment="1" applyProtection="1">
      <alignment horizontal="center" vertical="center" wrapText="1"/>
      <protection locked="0" hidden="1"/>
    </xf>
    <xf numFmtId="0" fontId="2" fillId="0" borderId="19" xfId="0" applyFont="1" applyBorder="1" applyProtection="1">
      <protection locked="0" hidden="1"/>
    </xf>
    <xf numFmtId="0" fontId="0" fillId="0" borderId="13" xfId="0" applyBorder="1" applyProtection="1">
      <protection locked="0" hidden="1"/>
    </xf>
    <xf numFmtId="0" fontId="5" fillId="0" borderId="0" xfId="0" applyFont="1" applyProtection="1">
      <protection locked="0" hidden="1"/>
    </xf>
    <xf numFmtId="0" fontId="8" fillId="0" borderId="0" xfId="0" applyFont="1" applyAlignment="1" applyProtection="1">
      <alignment vertical="top" wrapText="1"/>
      <protection locked="0" hidden="1"/>
    </xf>
    <xf numFmtId="0" fontId="6" fillId="2" borderId="0" xfId="0" applyFont="1" applyFill="1" applyProtection="1">
      <protection locked="0" hidden="1"/>
    </xf>
    <xf numFmtId="0" fontId="0" fillId="0" borderId="0" xfId="0" applyAlignment="1" applyProtection="1">
      <alignment vertical="top" wrapText="1"/>
      <protection locked="0" hidden="1"/>
    </xf>
    <xf numFmtId="0" fontId="11" fillId="4" borderId="0" xfId="0" applyFont="1" applyFill="1" applyAlignment="1" applyProtection="1">
      <alignment vertical="center"/>
      <protection locked="0" hidden="1"/>
    </xf>
    <xf numFmtId="0" fontId="28" fillId="4" borderId="0" xfId="0" applyFont="1" applyFill="1" applyProtection="1">
      <protection locked="0" hidden="1"/>
    </xf>
    <xf numFmtId="0" fontId="11" fillId="4" borderId="0" xfId="0" applyFont="1" applyFill="1" applyAlignment="1" applyProtection="1">
      <alignment horizontal="right" vertical="center"/>
      <protection locked="0" hidden="1"/>
    </xf>
    <xf numFmtId="0" fontId="2" fillId="3" borderId="0" xfId="0" applyFont="1" applyFill="1" applyAlignment="1" applyProtection="1">
      <alignment vertical="center"/>
      <protection locked="0" hidden="1"/>
    </xf>
    <xf numFmtId="164" fontId="2" fillId="3" borderId="0" xfId="0" applyNumberFormat="1" applyFont="1" applyFill="1" applyAlignment="1" applyProtection="1">
      <alignment vertical="center"/>
      <protection locked="0" hidden="1"/>
    </xf>
    <xf numFmtId="0" fontId="2" fillId="0" borderId="0" xfId="0" applyFont="1" applyAlignment="1" applyProtection="1">
      <alignment vertical="center"/>
      <protection locked="0" hidden="1"/>
    </xf>
    <xf numFmtId="164" fontId="2" fillId="0" borderId="0" xfId="0" applyNumberFormat="1" applyFont="1" applyAlignment="1" applyProtection="1">
      <alignment vertical="center"/>
      <protection locked="0" hidden="1"/>
    </xf>
    <xf numFmtId="0" fontId="4" fillId="2" borderId="0" xfId="0" applyFont="1" applyFill="1" applyProtection="1">
      <protection locked="0" hidden="1"/>
    </xf>
    <xf numFmtId="0" fontId="2" fillId="3" borderId="0" xfId="0" applyFont="1" applyFill="1" applyAlignment="1" applyProtection="1">
      <alignment vertical="center" wrapText="1"/>
      <protection locked="0" hidden="1"/>
    </xf>
    <xf numFmtId="0" fontId="2" fillId="0" borderId="0" xfId="0" applyFont="1" applyAlignment="1" applyProtection="1">
      <alignment horizontal="left"/>
      <protection locked="0" hidden="1"/>
    </xf>
    <xf numFmtId="0" fontId="2" fillId="0" borderId="0" xfId="0" applyFont="1" applyAlignment="1" applyProtection="1">
      <alignment horizontal="left" vertical="center"/>
      <protection locked="0" hidden="1"/>
    </xf>
    <xf numFmtId="0" fontId="0" fillId="5" borderId="0" xfId="0" applyFill="1" applyAlignment="1" applyProtection="1">
      <alignment vertical="center"/>
      <protection hidden="1"/>
    </xf>
    <xf numFmtId="0" fontId="0" fillId="5" borderId="0" xfId="0" applyFill="1" applyProtection="1">
      <protection hidden="1"/>
    </xf>
    <xf numFmtId="0" fontId="0" fillId="6" borderId="0" xfId="0" applyFill="1" applyAlignment="1" applyProtection="1">
      <alignment vertical="center"/>
      <protection hidden="1"/>
    </xf>
    <xf numFmtId="0" fontId="0" fillId="6" borderId="0" xfId="0" applyFill="1" applyProtection="1">
      <protection hidden="1"/>
    </xf>
    <xf numFmtId="0" fontId="24" fillId="0" borderId="0" xfId="0" applyFont="1" applyProtection="1">
      <protection hidden="1"/>
    </xf>
    <xf numFmtId="0" fontId="23" fillId="0" borderId="0" xfId="0" applyFont="1" applyProtection="1">
      <protection hidden="1"/>
    </xf>
    <xf numFmtId="0" fontId="0" fillId="0" borderId="0" xfId="0" applyAlignment="1" applyProtection="1">
      <alignment horizontal="left" wrapText="1"/>
      <protection hidden="1"/>
    </xf>
    <xf numFmtId="0" fontId="1" fillId="0" borderId="0" xfId="0" applyFont="1" applyAlignment="1" applyProtection="1">
      <alignment vertical="top"/>
      <protection hidden="1"/>
    </xf>
    <xf numFmtId="0" fontId="25" fillId="0" borderId="0" xfId="0" applyFont="1" applyProtection="1">
      <protection hidden="1"/>
    </xf>
    <xf numFmtId="0" fontId="4" fillId="4" borderId="0" xfId="0" applyFont="1" applyFill="1" applyAlignment="1" applyProtection="1">
      <alignment horizontal="left"/>
      <protection hidden="1"/>
    </xf>
    <xf numFmtId="0" fontId="7" fillId="4" borderId="0" xfId="0" applyFont="1" applyFill="1" applyProtection="1">
      <protection hidden="1"/>
    </xf>
    <xf numFmtId="0" fontId="9" fillId="4" borderId="0" xfId="0" applyFont="1" applyFill="1" applyAlignment="1" applyProtection="1">
      <alignment horizontal="right"/>
      <protection hidden="1"/>
    </xf>
    <xf numFmtId="0" fontId="15" fillId="0" borderId="0" xfId="0" applyFont="1" applyAlignment="1" applyProtection="1">
      <alignment wrapText="1"/>
      <protection hidden="1"/>
    </xf>
    <xf numFmtId="0" fontId="15" fillId="0" borderId="0" xfId="0" applyFont="1" applyAlignment="1" applyProtection="1">
      <alignment vertical="top" wrapText="1"/>
      <protection hidden="1"/>
    </xf>
    <xf numFmtId="0" fontId="5" fillId="0" borderId="0" xfId="0" applyFont="1" applyAlignment="1" applyProtection="1">
      <alignment vertical="center" wrapText="1"/>
      <protection hidden="1"/>
    </xf>
    <xf numFmtId="0" fontId="1" fillId="0" borderId="0" xfId="0" applyFont="1" applyProtection="1">
      <protection hidden="1"/>
    </xf>
    <xf numFmtId="0" fontId="2" fillId="0" borderId="0" xfId="0" applyFont="1" applyProtection="1">
      <protection hidden="1"/>
    </xf>
    <xf numFmtId="0" fontId="4" fillId="4" borderId="0" xfId="0" applyFont="1" applyFill="1" applyProtection="1">
      <protection hidden="1"/>
    </xf>
    <xf numFmtId="0" fontId="8" fillId="0" borderId="0" xfId="0" applyFont="1" applyAlignment="1" applyProtection="1">
      <alignment horizontal="right"/>
      <protection hidden="1"/>
    </xf>
    <xf numFmtId="0" fontId="8" fillId="0" borderId="0" xfId="0" applyFont="1" applyAlignment="1" applyProtection="1">
      <alignment horizontal="center"/>
      <protection hidden="1"/>
    </xf>
    <xf numFmtId="0" fontId="2" fillId="0" borderId="0" xfId="0" applyFont="1" applyAlignment="1" applyProtection="1">
      <alignment vertical="top"/>
      <protection hidden="1"/>
    </xf>
    <xf numFmtId="0" fontId="10" fillId="0" borderId="0" xfId="0" applyFont="1" applyProtection="1">
      <protection hidden="1"/>
    </xf>
    <xf numFmtId="0" fontId="27" fillId="0" borderId="0" xfId="0" applyFont="1" applyProtection="1">
      <protection hidden="1"/>
    </xf>
    <xf numFmtId="0" fontId="21" fillId="2" borderId="0" xfId="0" applyFont="1" applyFill="1" applyProtection="1">
      <protection hidden="1"/>
    </xf>
    <xf numFmtId="0" fontId="22" fillId="2" borderId="0" xfId="0" applyFont="1" applyFill="1" applyProtection="1">
      <protection hidden="1"/>
    </xf>
    <xf numFmtId="0" fontId="12" fillId="2" borderId="1" xfId="0" applyFont="1" applyFill="1" applyBorder="1" applyAlignment="1" applyProtection="1">
      <alignment horizontal="center" vertical="center"/>
      <protection hidden="1"/>
    </xf>
    <xf numFmtId="0" fontId="0" fillId="0" borderId="14" xfId="0" applyBorder="1" applyProtection="1">
      <protection hidden="1"/>
    </xf>
    <xf numFmtId="0" fontId="12" fillId="2" borderId="1" xfId="0" applyFont="1" applyFill="1" applyBorder="1" applyAlignment="1" applyProtection="1">
      <alignment horizontal="center" vertical="center" wrapText="1"/>
      <protection hidden="1"/>
    </xf>
    <xf numFmtId="0" fontId="0" fillId="0" borderId="12" xfId="0" applyBorder="1" applyProtection="1">
      <protection hidden="1"/>
    </xf>
    <xf numFmtId="0" fontId="2" fillId="0" borderId="5"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2" fillId="0" borderId="2" xfId="0" applyFont="1" applyBorder="1" applyAlignment="1" applyProtection="1">
      <alignment horizontal="center" vertical="center"/>
      <protection hidden="1"/>
    </xf>
    <xf numFmtId="0" fontId="2" fillId="0" borderId="18" xfId="0" applyFont="1" applyBorder="1" applyAlignment="1" applyProtection="1">
      <alignment horizontal="center" vertical="center"/>
      <protection hidden="1"/>
    </xf>
    <xf numFmtId="0" fontId="0" fillId="0" borderId="15" xfId="0" applyBorder="1" applyProtection="1">
      <protection hidden="1"/>
    </xf>
    <xf numFmtId="0" fontId="2" fillId="0" borderId="20" xfId="0" applyFont="1" applyBorder="1" applyProtection="1">
      <protection hidden="1"/>
    </xf>
    <xf numFmtId="0" fontId="12" fillId="2" borderId="5" xfId="0" applyFont="1" applyFill="1" applyBorder="1" applyAlignment="1" applyProtection="1">
      <alignment horizontal="center" vertical="center"/>
      <protection hidden="1"/>
    </xf>
    <xf numFmtId="0" fontId="3" fillId="0" borderId="0" xfId="0" applyFont="1" applyProtection="1">
      <protection hidden="1"/>
    </xf>
    <xf numFmtId="0" fontId="12" fillId="2" borderId="2" xfId="0" applyFont="1" applyFill="1" applyBorder="1" applyAlignment="1" applyProtection="1">
      <alignment horizontal="center" vertical="center" wrapText="1"/>
      <protection hidden="1"/>
    </xf>
    <xf numFmtId="0" fontId="2" fillId="0" borderId="21" xfId="0" applyFont="1" applyBorder="1" applyAlignment="1" applyProtection="1">
      <alignment horizontal="center" vertical="center"/>
      <protection hidden="1"/>
    </xf>
    <xf numFmtId="0" fontId="2" fillId="0" borderId="19" xfId="0" applyFont="1" applyBorder="1" applyProtection="1">
      <protection hidden="1"/>
    </xf>
    <xf numFmtId="0" fontId="16" fillId="4" borderId="0" xfId="0" applyFont="1" applyFill="1" applyAlignment="1" applyProtection="1">
      <alignment vertical="center"/>
      <protection hidden="1"/>
    </xf>
    <xf numFmtId="0" fontId="8" fillId="0" borderId="0" xfId="0" applyFont="1" applyAlignment="1" applyProtection="1">
      <alignment vertical="top" wrapText="1"/>
      <protection hidden="1"/>
    </xf>
    <xf numFmtId="0" fontId="21" fillId="2" borderId="0" xfId="0" applyFont="1" applyFill="1" applyAlignment="1" applyProtection="1">
      <alignment vertical="center"/>
      <protection hidden="1"/>
    </xf>
    <xf numFmtId="0" fontId="22" fillId="2" borderId="0" xfId="0" applyFont="1" applyFill="1" applyAlignment="1" applyProtection="1">
      <alignment vertical="center"/>
      <protection hidden="1"/>
    </xf>
    <xf numFmtId="0" fontId="6" fillId="2" borderId="0" xfId="0" applyFont="1" applyFill="1" applyProtection="1">
      <protection hidden="1"/>
    </xf>
    <xf numFmtId="0" fontId="0" fillId="0" borderId="0" xfId="0" applyAlignment="1" applyProtection="1">
      <alignment vertical="top" wrapText="1"/>
      <protection hidden="1"/>
    </xf>
    <xf numFmtId="0" fontId="15" fillId="0" borderId="0" xfId="0" applyFont="1" applyAlignment="1" applyProtection="1">
      <alignment horizontal="left" wrapText="1"/>
      <protection hidden="1"/>
    </xf>
    <xf numFmtId="0" fontId="26" fillId="4" borderId="0" xfId="0" applyFont="1" applyFill="1" applyAlignment="1" applyProtection="1">
      <alignment horizontal="center"/>
      <protection hidden="1"/>
    </xf>
    <xf numFmtId="0" fontId="0" fillId="0" borderId="0" xfId="0" applyAlignment="1" applyProtection="1">
      <alignment horizontal="left" wrapText="1"/>
      <protection hidden="1"/>
    </xf>
    <xf numFmtId="0" fontId="0" fillId="0" borderId="0" xfId="0" applyAlignment="1" applyProtection="1">
      <alignment horizontal="left" vertical="top" wrapText="1"/>
      <protection hidden="1"/>
    </xf>
    <xf numFmtId="0" fontId="4" fillId="4" borderId="1" xfId="0"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protection hidden="1"/>
    </xf>
    <xf numFmtId="0" fontId="8" fillId="0" borderId="9" xfId="0" applyFont="1" applyBorder="1" applyAlignment="1" applyProtection="1">
      <alignment horizontal="center"/>
      <protection hidden="1"/>
    </xf>
    <xf numFmtId="0" fontId="15" fillId="0" borderId="0" xfId="0" applyFont="1" applyAlignment="1" applyProtection="1">
      <alignment horizontal="left" vertical="top" wrapText="1"/>
      <protection hidden="1"/>
    </xf>
    <xf numFmtId="0" fontId="5" fillId="0" borderId="0" xfId="0" applyFont="1" applyAlignment="1" applyProtection="1">
      <alignment horizontal="left" vertical="center" wrapText="1"/>
      <protection hidden="1"/>
    </xf>
    <xf numFmtId="0" fontId="4" fillId="4" borderId="1" xfId="0" applyFont="1" applyFill="1" applyBorder="1" applyAlignment="1" applyProtection="1">
      <alignment horizontal="center" vertical="center"/>
      <protection hidden="1"/>
    </xf>
    <xf numFmtId="0" fontId="5" fillId="0" borderId="0" xfId="0" applyFont="1" applyAlignment="1" applyProtection="1">
      <alignment horizontal="left" wrapText="1"/>
      <protection hidden="1"/>
    </xf>
    <xf numFmtId="164" fontId="21" fillId="0" borderId="0" xfId="0" applyNumberFormat="1" applyFont="1" applyAlignment="1" applyProtection="1">
      <alignment horizontal="center"/>
      <protection hidden="1"/>
    </xf>
    <xf numFmtId="0" fontId="8" fillId="0" borderId="12" xfId="0" applyFont="1" applyBorder="1" applyAlignment="1" applyProtection="1">
      <alignment horizontal="left" vertical="center" wrapText="1"/>
      <protection locked="0" hidden="1"/>
    </xf>
    <xf numFmtId="0" fontId="8" fillId="0" borderId="0" xfId="0" applyFont="1" applyAlignment="1" applyProtection="1">
      <alignment horizontal="left" vertical="center" wrapText="1"/>
      <protection locked="0" hidden="1"/>
    </xf>
    <xf numFmtId="0" fontId="8" fillId="0" borderId="13" xfId="0" applyFont="1" applyBorder="1" applyAlignment="1" applyProtection="1">
      <alignment horizontal="left" vertical="center" wrapText="1"/>
      <protection locked="0" hidden="1"/>
    </xf>
    <xf numFmtId="0" fontId="8" fillId="0" borderId="11" xfId="0" applyFont="1" applyBorder="1" applyAlignment="1" applyProtection="1">
      <alignment horizontal="left" vertical="center" wrapText="1"/>
      <protection locked="0" hidden="1"/>
    </xf>
    <xf numFmtId="0" fontId="8" fillId="0" borderId="7" xfId="0" applyFont="1" applyBorder="1" applyAlignment="1" applyProtection="1">
      <alignment horizontal="left" vertical="center" wrapText="1"/>
      <protection locked="0" hidden="1"/>
    </xf>
    <xf numFmtId="0" fontId="8" fillId="0" borderId="6" xfId="0" applyFont="1" applyBorder="1" applyAlignment="1" applyProtection="1">
      <alignment horizontal="left" vertical="center" wrapText="1"/>
      <protection locked="0" hidden="1"/>
    </xf>
    <xf numFmtId="0" fontId="14" fillId="0" borderId="8" xfId="0" applyFont="1" applyBorder="1" applyAlignment="1" applyProtection="1">
      <alignment horizontal="center" vertical="center" wrapText="1"/>
      <protection locked="0" hidden="1"/>
    </xf>
    <xf numFmtId="0" fontId="19" fillId="0" borderId="9" xfId="0" applyFont="1" applyBorder="1" applyAlignment="1" applyProtection="1">
      <alignment horizontal="center" vertical="center" wrapText="1"/>
      <protection locked="0" hidden="1"/>
    </xf>
    <xf numFmtId="0" fontId="19" fillId="0" borderId="10" xfId="0" applyFont="1" applyBorder="1" applyAlignment="1" applyProtection="1">
      <alignment horizontal="center" vertical="center" wrapText="1"/>
      <protection locked="0" hidden="1"/>
    </xf>
    <xf numFmtId="0" fontId="19" fillId="0" borderId="11" xfId="0" applyFont="1" applyBorder="1" applyAlignment="1" applyProtection="1">
      <alignment horizontal="center" vertical="center" wrapText="1"/>
      <protection locked="0" hidden="1"/>
    </xf>
    <xf numFmtId="0" fontId="19" fillId="0" borderId="7" xfId="0" applyFont="1" applyBorder="1" applyAlignment="1" applyProtection="1">
      <alignment horizontal="center" vertical="center" wrapText="1"/>
      <protection locked="0" hidden="1"/>
    </xf>
    <xf numFmtId="0" fontId="19" fillId="0" borderId="6" xfId="0" applyFont="1" applyBorder="1" applyAlignment="1" applyProtection="1">
      <alignment horizontal="center" vertical="center" wrapText="1"/>
      <protection locked="0" hidden="1"/>
    </xf>
    <xf numFmtId="0" fontId="1" fillId="0" borderId="8" xfId="0" applyFont="1" applyBorder="1" applyAlignment="1" applyProtection="1">
      <alignment horizontal="center" vertical="center" wrapText="1"/>
      <protection locked="0" hidden="1"/>
    </xf>
    <xf numFmtId="0" fontId="1" fillId="0" borderId="9" xfId="0" applyFont="1" applyBorder="1" applyAlignment="1" applyProtection="1">
      <alignment horizontal="center" vertical="center" wrapText="1"/>
      <protection locked="0" hidden="1"/>
    </xf>
    <xf numFmtId="0" fontId="1" fillId="0" borderId="10" xfId="0" applyFont="1" applyBorder="1" applyAlignment="1" applyProtection="1">
      <alignment horizontal="center" vertical="center" wrapText="1"/>
      <protection locked="0" hidden="1"/>
    </xf>
    <xf numFmtId="0" fontId="1" fillId="0" borderId="12" xfId="0" applyFont="1" applyBorder="1" applyAlignment="1" applyProtection="1">
      <alignment horizontal="center" vertical="center" wrapText="1"/>
      <protection locked="0" hidden="1"/>
    </xf>
    <xf numFmtId="0" fontId="1" fillId="0" borderId="0" xfId="0" applyFont="1" applyAlignment="1" applyProtection="1">
      <alignment horizontal="center" vertical="center" wrapText="1"/>
      <protection locked="0" hidden="1"/>
    </xf>
    <xf numFmtId="0" fontId="1" fillId="0" borderId="13" xfId="0" applyFont="1" applyBorder="1" applyAlignment="1" applyProtection="1">
      <alignment horizontal="center" vertical="center" wrapText="1"/>
      <protection locked="0" hidden="1"/>
    </xf>
    <xf numFmtId="0" fontId="2" fillId="0" borderId="11" xfId="0" applyFont="1" applyBorder="1" applyAlignment="1" applyProtection="1">
      <alignment horizontal="center" vertical="center" wrapText="1"/>
      <protection locked="0" hidden="1"/>
    </xf>
    <xf numFmtId="0" fontId="2" fillId="0" borderId="7" xfId="0" applyFont="1" applyBorder="1" applyAlignment="1" applyProtection="1">
      <alignment horizontal="center" vertical="center" wrapText="1"/>
      <protection locked="0" hidden="1"/>
    </xf>
    <xf numFmtId="0" fontId="2" fillId="0" borderId="6" xfId="0" applyFont="1" applyBorder="1" applyAlignment="1" applyProtection="1">
      <alignment horizontal="center" vertical="center" wrapText="1"/>
      <protection locked="0" hidden="1"/>
    </xf>
    <xf numFmtId="0" fontId="20" fillId="0" borderId="9" xfId="0" applyFont="1" applyBorder="1" applyAlignment="1" applyProtection="1">
      <alignment horizontal="center" vertical="center"/>
      <protection locked="0" hidden="1"/>
    </xf>
    <xf numFmtId="0" fontId="20" fillId="0" borderId="10" xfId="0" applyFont="1" applyBorder="1" applyAlignment="1" applyProtection="1">
      <alignment horizontal="center" vertical="center"/>
      <protection locked="0" hidden="1"/>
    </xf>
    <xf numFmtId="0" fontId="17" fillId="0" borderId="7" xfId="0" applyFont="1" applyBorder="1" applyAlignment="1" applyProtection="1">
      <alignment horizontal="center"/>
      <protection locked="0" hidden="1"/>
    </xf>
    <xf numFmtId="0" fontId="20" fillId="0" borderId="8" xfId="0" applyFont="1" applyBorder="1" applyAlignment="1" applyProtection="1">
      <alignment horizontal="center" vertical="center"/>
      <protection locked="0" hidden="1"/>
    </xf>
    <xf numFmtId="0" fontId="18" fillId="6" borderId="8" xfId="0" applyFont="1" applyFill="1" applyBorder="1" applyAlignment="1" applyProtection="1">
      <alignment horizontal="center"/>
      <protection locked="0" hidden="1"/>
    </xf>
    <xf numFmtId="0" fontId="18" fillId="6" borderId="9" xfId="0" applyFont="1" applyFill="1" applyBorder="1" applyAlignment="1" applyProtection="1">
      <alignment horizontal="center"/>
      <protection locked="0" hidden="1"/>
    </xf>
    <xf numFmtId="0" fontId="18" fillId="6" borderId="10" xfId="0" applyFont="1" applyFill="1" applyBorder="1" applyAlignment="1" applyProtection="1">
      <alignment horizontal="center"/>
      <protection locked="0" hidden="1"/>
    </xf>
    <xf numFmtId="0" fontId="8" fillId="0" borderId="0" xfId="0" applyFont="1" applyAlignment="1" applyProtection="1">
      <alignment horizontal="left" vertical="top" wrapText="1"/>
      <protection locked="0" hidden="1"/>
    </xf>
    <xf numFmtId="0" fontId="8" fillId="0" borderId="13" xfId="0" applyFont="1" applyBorder="1" applyAlignment="1" applyProtection="1">
      <alignment horizontal="left" vertical="top" wrapText="1"/>
      <protection locked="0" hidden="1"/>
    </xf>
    <xf numFmtId="0" fontId="8" fillId="0" borderId="12" xfId="0" applyFont="1" applyBorder="1" applyAlignment="1" applyProtection="1">
      <alignment horizontal="left" vertical="top" wrapText="1"/>
      <protection locked="0" hidden="1"/>
    </xf>
    <xf numFmtId="0" fontId="8" fillId="0" borderId="11" xfId="0" applyFont="1" applyBorder="1" applyAlignment="1" applyProtection="1">
      <alignment horizontal="left" vertical="top" wrapText="1"/>
      <protection locked="0" hidden="1"/>
    </xf>
    <xf numFmtId="0" fontId="8" fillId="0" borderId="7" xfId="0" applyFont="1" applyBorder="1" applyAlignment="1" applyProtection="1">
      <alignment horizontal="left" vertical="top" wrapText="1"/>
      <protection locked="0" hidden="1"/>
    </xf>
    <xf numFmtId="0" fontId="8" fillId="0" borderId="6" xfId="0" applyFont="1" applyBorder="1" applyAlignment="1" applyProtection="1">
      <alignment horizontal="left" vertical="top" wrapText="1"/>
      <protection locked="0" hidden="1"/>
    </xf>
    <xf numFmtId="0" fontId="8" fillId="0" borderId="1" xfId="0" applyFont="1" applyBorder="1" applyAlignment="1" applyProtection="1">
      <alignment horizontal="left" vertical="center"/>
      <protection hidden="1"/>
    </xf>
    <xf numFmtId="166" fontId="8" fillId="0" borderId="2" xfId="0" applyNumberFormat="1" applyFont="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166" fontId="8" fillId="0" borderId="4" xfId="0" applyNumberFormat="1" applyFont="1" applyBorder="1" applyAlignment="1" applyProtection="1">
      <alignment horizontal="center" vertical="center"/>
      <protection hidden="1"/>
    </xf>
    <xf numFmtId="164" fontId="8" fillId="7" borderId="2" xfId="0" applyNumberFormat="1" applyFont="1" applyFill="1" applyBorder="1" applyAlignment="1" applyProtection="1">
      <alignment horizontal="center" vertical="center"/>
      <protection hidden="1"/>
    </xf>
    <xf numFmtId="164" fontId="8" fillId="7" borderId="3" xfId="0" applyNumberFormat="1" applyFont="1" applyFill="1" applyBorder="1" applyAlignment="1" applyProtection="1">
      <alignment horizontal="center" vertical="center"/>
      <protection hidden="1"/>
    </xf>
    <xf numFmtId="164" fontId="8" fillId="7" borderId="4" xfId="0" applyNumberFormat="1" applyFont="1" applyFill="1" applyBorder="1" applyAlignment="1" applyProtection="1">
      <alignment horizontal="center" vertical="center"/>
      <protection hidden="1"/>
    </xf>
    <xf numFmtId="164" fontId="2" fillId="0" borderId="1" xfId="0" applyNumberFormat="1" applyFont="1" applyBorder="1" applyAlignment="1" applyProtection="1">
      <alignment horizontal="center" vertical="center"/>
      <protection hidden="1"/>
    </xf>
    <xf numFmtId="164" fontId="2" fillId="0" borderId="2" xfId="0" applyNumberFormat="1" applyFont="1" applyBorder="1" applyAlignment="1" applyProtection="1">
      <alignment horizontal="center" vertical="center"/>
      <protection hidden="1"/>
    </xf>
    <xf numFmtId="164" fontId="2" fillId="0" borderId="3" xfId="0" applyNumberFormat="1" applyFont="1" applyBorder="1" applyAlignment="1" applyProtection="1">
      <alignment horizontal="center" vertical="center"/>
      <protection hidden="1"/>
    </xf>
    <xf numFmtId="164" fontId="2" fillId="0" borderId="4" xfId="0" applyNumberFormat="1" applyFont="1" applyBorder="1" applyAlignment="1" applyProtection="1">
      <alignment horizontal="center" vertical="center"/>
      <protection hidden="1"/>
    </xf>
    <xf numFmtId="0" fontId="8" fillId="0" borderId="1" xfId="0" applyFont="1" applyBorder="1" applyAlignment="1" applyProtection="1">
      <alignment horizontal="left" vertical="center" wrapText="1"/>
      <protection hidden="1"/>
    </xf>
    <xf numFmtId="164" fontId="8" fillId="0" borderId="1" xfId="0" applyNumberFormat="1" applyFont="1" applyBorder="1" applyAlignment="1" applyProtection="1">
      <alignment horizontal="center" vertical="center"/>
      <protection hidden="1"/>
    </xf>
    <xf numFmtId="0" fontId="11" fillId="4" borderId="8" xfId="0" applyFont="1" applyFill="1" applyBorder="1" applyAlignment="1" applyProtection="1">
      <alignment horizontal="center" vertical="center"/>
      <protection hidden="1"/>
    </xf>
    <xf numFmtId="0" fontId="11" fillId="4" borderId="9" xfId="0" applyFont="1" applyFill="1" applyBorder="1" applyAlignment="1" applyProtection="1">
      <alignment horizontal="center" vertical="center"/>
      <protection hidden="1"/>
    </xf>
    <xf numFmtId="0" fontId="11" fillId="4" borderId="10" xfId="0" applyFont="1" applyFill="1" applyBorder="1" applyAlignment="1" applyProtection="1">
      <alignment horizontal="center" vertical="center"/>
      <protection hidden="1"/>
    </xf>
    <xf numFmtId="0" fontId="11" fillId="4" borderId="11" xfId="0" applyFont="1" applyFill="1" applyBorder="1" applyAlignment="1" applyProtection="1">
      <alignment horizontal="center" vertical="center"/>
      <protection hidden="1"/>
    </xf>
    <xf numFmtId="0" fontId="11" fillId="4" borderId="7" xfId="0" applyFont="1" applyFill="1" applyBorder="1" applyAlignment="1" applyProtection="1">
      <alignment horizontal="center" vertical="center"/>
      <protection hidden="1"/>
    </xf>
    <xf numFmtId="0" fontId="11" fillId="4" borderId="6" xfId="0" applyFont="1" applyFill="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165" fontId="2" fillId="0" borderId="1" xfId="0" applyNumberFormat="1" applyFont="1" applyBorder="1" applyAlignment="1" applyProtection="1">
      <alignment horizontal="center" vertical="center"/>
      <protection hidden="1"/>
    </xf>
    <xf numFmtId="0" fontId="8" fillId="0" borderId="0" xfId="0" applyFont="1" applyAlignment="1" applyProtection="1">
      <alignment horizontal="center"/>
      <protection hidden="1"/>
    </xf>
    <xf numFmtId="0" fontId="11" fillId="4" borderId="1" xfId="0" applyFont="1" applyFill="1" applyBorder="1" applyAlignment="1" applyProtection="1">
      <alignment horizontal="center" vertical="center" wrapText="1"/>
      <protection hidden="1"/>
    </xf>
    <xf numFmtId="0" fontId="11" fillId="4" borderId="1" xfId="0" applyFont="1" applyFill="1" applyBorder="1" applyAlignment="1" applyProtection="1">
      <alignment horizontal="center" vertical="center"/>
      <protection hidden="1"/>
    </xf>
    <xf numFmtId="0" fontId="10" fillId="0" borderId="0" xfId="0" applyFont="1" applyAlignment="1" applyProtection="1">
      <alignment horizontal="left" vertical="top"/>
      <protection hidden="1"/>
    </xf>
    <xf numFmtId="0" fontId="10" fillId="0" borderId="7" xfId="0" applyFont="1" applyBorder="1" applyAlignment="1" applyProtection="1">
      <alignment horizontal="left" vertical="top"/>
      <protection hidden="1"/>
    </xf>
    <xf numFmtId="0" fontId="8" fillId="0" borderId="0" xfId="0" applyFont="1" applyAlignment="1" applyProtection="1">
      <alignment horizontal="left" vertical="top" wrapText="1"/>
      <protection hidden="1"/>
    </xf>
    <xf numFmtId="0" fontId="8" fillId="0" borderId="7" xfId="0" applyFont="1" applyBorder="1" applyAlignment="1" applyProtection="1">
      <alignment horizontal="left" vertical="top" wrapText="1"/>
      <protection hidden="1"/>
    </xf>
  </cellXfs>
  <cellStyles count="1">
    <cellStyle name="Normal" xfId="0" builtinId="0"/>
  </cellStyles>
  <dxfs count="9">
    <dxf>
      <fill>
        <patternFill>
          <bgColor theme="0" tint="-0.49998474074526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0" tint="-0.499984740745262"/>
        </patternFill>
      </fill>
    </dxf>
    <dxf>
      <fill>
        <patternFill>
          <bgColor theme="7" tint="0.79998168889431442"/>
        </patternFill>
      </fill>
    </dxf>
    <dxf>
      <fill>
        <patternFill>
          <bgColor theme="7" tint="0.79998168889431442"/>
        </patternFill>
      </fill>
    </dxf>
    <dxf>
      <fill>
        <patternFill>
          <bgColor theme="3" tint="0.39994506668294322"/>
        </patternFill>
      </fill>
    </dxf>
    <dxf>
      <fill>
        <patternFill>
          <bgColor theme="3" tint="0.39994506668294322"/>
        </patternFill>
      </fill>
      <border>
        <left style="thin">
          <color auto="1"/>
        </left>
        <right style="thin">
          <color auto="1"/>
        </right>
        <top style="thin">
          <color auto="1"/>
        </top>
        <bottom style="thin">
          <color auto="1"/>
        </bottom>
      </border>
    </dxf>
  </dxfs>
  <tableStyles count="1" defaultTableStyle="TableStyleMedium2" defaultPivotStyle="PivotStyleLight16">
    <tableStyle name="Style de tableau 1" pivot="0" count="1" xr9:uid="{DFF4268C-37F7-43D6-9373-ECA64309C4EE}">
      <tableStyleElement type="second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8" Type="http://schemas.openxmlformats.org/officeDocument/2006/relationships/image" Target="../media/image18.jpeg"/><Relationship Id="rId13" Type="http://schemas.openxmlformats.org/officeDocument/2006/relationships/image" Target="../media/image23.svg"/><Relationship Id="rId18" Type="http://schemas.openxmlformats.org/officeDocument/2006/relationships/image" Target="../media/image28.jpeg"/><Relationship Id="rId3" Type="http://schemas.openxmlformats.org/officeDocument/2006/relationships/image" Target="../media/image14.jpeg"/><Relationship Id="rId7" Type="http://schemas.openxmlformats.org/officeDocument/2006/relationships/image" Target="../media/image17.jpeg"/><Relationship Id="rId12" Type="http://schemas.openxmlformats.org/officeDocument/2006/relationships/image" Target="../media/image22.png"/><Relationship Id="rId17" Type="http://schemas.openxmlformats.org/officeDocument/2006/relationships/image" Target="../media/image27.jpeg"/><Relationship Id="rId2" Type="http://schemas.openxmlformats.org/officeDocument/2006/relationships/image" Target="../media/image13.jpeg"/><Relationship Id="rId16" Type="http://schemas.openxmlformats.org/officeDocument/2006/relationships/image" Target="../media/image26.jpeg"/><Relationship Id="rId20" Type="http://schemas.openxmlformats.org/officeDocument/2006/relationships/image" Target="../media/image30.jpeg"/><Relationship Id="rId1" Type="http://schemas.openxmlformats.org/officeDocument/2006/relationships/image" Target="../media/image12.jpeg"/><Relationship Id="rId6" Type="http://schemas.openxmlformats.org/officeDocument/2006/relationships/image" Target="../media/image16.jpeg"/><Relationship Id="rId11" Type="http://schemas.openxmlformats.org/officeDocument/2006/relationships/image" Target="../media/image21.jpeg"/><Relationship Id="rId5" Type="http://schemas.openxmlformats.org/officeDocument/2006/relationships/image" Target="../media/image15.jpeg"/><Relationship Id="rId15" Type="http://schemas.openxmlformats.org/officeDocument/2006/relationships/image" Target="../media/image25.svg"/><Relationship Id="rId10" Type="http://schemas.openxmlformats.org/officeDocument/2006/relationships/image" Target="../media/image20.jpeg"/><Relationship Id="rId19" Type="http://schemas.openxmlformats.org/officeDocument/2006/relationships/image" Target="../media/image29.jpeg"/><Relationship Id="rId4" Type="http://schemas.openxmlformats.org/officeDocument/2006/relationships/image" Target="../media/image4.jpeg"/><Relationship Id="rId9" Type="http://schemas.openxmlformats.org/officeDocument/2006/relationships/image" Target="../media/image19.jpeg"/><Relationship Id="rId14" Type="http://schemas.openxmlformats.org/officeDocument/2006/relationships/image" Target="../media/image24.png"/></Relationships>
</file>

<file path=xl/drawings/_rels/drawing3.xml.rels><?xml version="1.0" encoding="UTF-8" standalone="yes"?>
<Relationships xmlns="http://schemas.openxmlformats.org/package/2006/relationships"><Relationship Id="rId3" Type="http://schemas.openxmlformats.org/officeDocument/2006/relationships/image" Target="../media/image23.svg"/><Relationship Id="rId2" Type="http://schemas.openxmlformats.org/officeDocument/2006/relationships/image" Target="../media/image22.png"/><Relationship Id="rId1" Type="http://schemas.openxmlformats.org/officeDocument/2006/relationships/image" Target="../media/image12.jpeg"/><Relationship Id="rId5" Type="http://schemas.openxmlformats.org/officeDocument/2006/relationships/image" Target="../media/image25.svg"/><Relationship Id="rId4" Type="http://schemas.openxmlformats.org/officeDocument/2006/relationships/image" Target="../media/image2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32.svg"/><Relationship Id="rId1" Type="http://schemas.openxmlformats.org/officeDocument/2006/relationships/image" Target="../media/image31.png"/><Relationship Id="rId4" Type="http://schemas.openxmlformats.org/officeDocument/2006/relationships/image" Target="../media/image25.svg"/></Relationships>
</file>

<file path=xl/drawings/drawing1.xml><?xml version="1.0" encoding="utf-8"?>
<xdr:wsDr xmlns:xdr="http://schemas.openxmlformats.org/drawingml/2006/spreadsheetDrawing" xmlns:a="http://schemas.openxmlformats.org/drawingml/2006/main">
  <xdr:oneCellAnchor>
    <xdr:from>
      <xdr:col>21</xdr:col>
      <xdr:colOff>182216</xdr:colOff>
      <xdr:row>39</xdr:row>
      <xdr:rowOff>74544</xdr:rowOff>
    </xdr:from>
    <xdr:ext cx="543799" cy="295275"/>
    <xdr:pic>
      <xdr:nvPicPr>
        <xdr:cNvPr id="2" name="Image 1">
          <a:extLst>
            <a:ext uri="{FF2B5EF4-FFF2-40B4-BE49-F238E27FC236}">
              <a16:creationId xmlns:a16="http://schemas.microsoft.com/office/drawing/2014/main" id="{32F31B2D-C606-4AFF-8316-E6EFB29932A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0668" b="30812"/>
        <a:stretch/>
      </xdr:blipFill>
      <xdr:spPr>
        <a:xfrm>
          <a:off x="5859116" y="7827894"/>
          <a:ext cx="543799" cy="295275"/>
        </a:xfrm>
        <a:prstGeom prst="rect">
          <a:avLst/>
        </a:prstGeom>
      </xdr:spPr>
    </xdr:pic>
    <xdr:clientData/>
  </xdr:oneCellAnchor>
  <xdr:twoCellAnchor editAs="oneCell">
    <xdr:from>
      <xdr:col>0</xdr:col>
      <xdr:colOff>122760</xdr:colOff>
      <xdr:row>23</xdr:row>
      <xdr:rowOff>66260</xdr:rowOff>
    </xdr:from>
    <xdr:to>
      <xdr:col>2</xdr:col>
      <xdr:colOff>114183</xdr:colOff>
      <xdr:row>29</xdr:row>
      <xdr:rowOff>57589</xdr:rowOff>
    </xdr:to>
    <xdr:pic>
      <xdr:nvPicPr>
        <xdr:cNvPr id="3" name="Image 2">
          <a:extLst>
            <a:ext uri="{FF2B5EF4-FFF2-40B4-BE49-F238E27FC236}">
              <a16:creationId xmlns:a16="http://schemas.microsoft.com/office/drawing/2014/main" id="{FD5CB037-0FE0-409D-9723-EBBDD659F8B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541" r="12210"/>
        <a:stretch/>
      </xdr:blipFill>
      <xdr:spPr>
        <a:xfrm>
          <a:off x="122760" y="4857335"/>
          <a:ext cx="601023" cy="848579"/>
        </a:xfrm>
        <a:prstGeom prst="rect">
          <a:avLst/>
        </a:prstGeom>
      </xdr:spPr>
    </xdr:pic>
    <xdr:clientData/>
  </xdr:twoCellAnchor>
  <xdr:twoCellAnchor editAs="oneCell">
    <xdr:from>
      <xdr:col>3</xdr:col>
      <xdr:colOff>221266</xdr:colOff>
      <xdr:row>23</xdr:row>
      <xdr:rowOff>38070</xdr:rowOff>
    </xdr:from>
    <xdr:to>
      <xdr:col>4</xdr:col>
      <xdr:colOff>220365</xdr:colOff>
      <xdr:row>26</xdr:row>
      <xdr:rowOff>62919</xdr:rowOff>
    </xdr:to>
    <xdr:pic>
      <xdr:nvPicPr>
        <xdr:cNvPr id="4" name="Image 3">
          <a:extLst>
            <a:ext uri="{FF2B5EF4-FFF2-40B4-BE49-F238E27FC236}">
              <a16:creationId xmlns:a16="http://schemas.microsoft.com/office/drawing/2014/main" id="{F0EDBABA-F6C8-494E-926F-08A5A7F8D3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7566" y="4829145"/>
          <a:ext cx="265799" cy="415374"/>
        </a:xfrm>
        <a:prstGeom prst="rect">
          <a:avLst/>
        </a:prstGeom>
      </xdr:spPr>
    </xdr:pic>
    <xdr:clientData/>
  </xdr:twoCellAnchor>
  <xdr:twoCellAnchor editAs="oneCell">
    <xdr:from>
      <xdr:col>5</xdr:col>
      <xdr:colOff>63954</xdr:colOff>
      <xdr:row>23</xdr:row>
      <xdr:rowOff>38070</xdr:rowOff>
    </xdr:from>
    <xdr:to>
      <xdr:col>6</xdr:col>
      <xdr:colOff>62153</xdr:colOff>
      <xdr:row>26</xdr:row>
      <xdr:rowOff>62919</xdr:rowOff>
    </xdr:to>
    <xdr:pic>
      <xdr:nvPicPr>
        <xdr:cNvPr id="5" name="Image 4">
          <a:extLst>
            <a:ext uri="{FF2B5EF4-FFF2-40B4-BE49-F238E27FC236}">
              <a16:creationId xmlns:a16="http://schemas.microsoft.com/office/drawing/2014/main" id="{1B5E836D-2261-4604-A118-E4C206EF41D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3654" y="4829145"/>
          <a:ext cx="264899" cy="415374"/>
        </a:xfrm>
        <a:prstGeom prst="rect">
          <a:avLst/>
        </a:prstGeom>
      </xdr:spPr>
    </xdr:pic>
    <xdr:clientData/>
  </xdr:twoCellAnchor>
  <xdr:twoCellAnchor editAs="oneCell">
    <xdr:from>
      <xdr:col>4</xdr:col>
      <xdr:colOff>55613</xdr:colOff>
      <xdr:row>28</xdr:row>
      <xdr:rowOff>8183</xdr:rowOff>
    </xdr:from>
    <xdr:to>
      <xdr:col>6</xdr:col>
      <xdr:colOff>30764</xdr:colOff>
      <xdr:row>30</xdr:row>
      <xdr:rowOff>133578</xdr:rowOff>
    </xdr:to>
    <xdr:pic>
      <xdr:nvPicPr>
        <xdr:cNvPr id="6" name="Image 5">
          <a:extLst>
            <a:ext uri="{FF2B5EF4-FFF2-40B4-BE49-F238E27FC236}">
              <a16:creationId xmlns:a16="http://schemas.microsoft.com/office/drawing/2014/main" id="{6CB36B3B-77B9-4946-9D61-4EB584F6B96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98613" y="5456483"/>
          <a:ext cx="508551" cy="525445"/>
        </a:xfrm>
        <a:prstGeom prst="rect">
          <a:avLst/>
        </a:prstGeom>
      </xdr:spPr>
    </xdr:pic>
    <xdr:clientData/>
  </xdr:twoCellAnchor>
  <xdr:twoCellAnchor editAs="oneCell">
    <xdr:from>
      <xdr:col>16</xdr:col>
      <xdr:colOff>165652</xdr:colOff>
      <xdr:row>16</xdr:row>
      <xdr:rowOff>86484</xdr:rowOff>
    </xdr:from>
    <xdr:to>
      <xdr:col>22</xdr:col>
      <xdr:colOff>142063</xdr:colOff>
      <xdr:row>21</xdr:row>
      <xdr:rowOff>96423</xdr:rowOff>
    </xdr:to>
    <xdr:pic>
      <xdr:nvPicPr>
        <xdr:cNvPr id="7" name="Image 6">
          <a:extLst>
            <a:ext uri="{FF2B5EF4-FFF2-40B4-BE49-F238E27FC236}">
              <a16:creationId xmlns:a16="http://schemas.microsoft.com/office/drawing/2014/main" id="{27EE8555-82E5-4A43-9A0C-17A365BE9F4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09052" y="3715509"/>
          <a:ext cx="1576611" cy="819564"/>
        </a:xfrm>
        <a:prstGeom prst="rect">
          <a:avLst/>
        </a:prstGeom>
      </xdr:spPr>
    </xdr:pic>
    <xdr:clientData/>
  </xdr:twoCellAnchor>
  <xdr:twoCellAnchor editAs="oneCell">
    <xdr:from>
      <xdr:col>8</xdr:col>
      <xdr:colOff>190500</xdr:colOff>
      <xdr:row>16</xdr:row>
      <xdr:rowOff>86484</xdr:rowOff>
    </xdr:from>
    <xdr:to>
      <xdr:col>14</xdr:col>
      <xdr:colOff>166911</xdr:colOff>
      <xdr:row>21</xdr:row>
      <xdr:rowOff>96423</xdr:rowOff>
    </xdr:to>
    <xdr:pic>
      <xdr:nvPicPr>
        <xdr:cNvPr id="8" name="Image 7">
          <a:extLst>
            <a:ext uri="{FF2B5EF4-FFF2-40B4-BE49-F238E27FC236}">
              <a16:creationId xmlns:a16="http://schemas.microsoft.com/office/drawing/2014/main" id="{284A9FE2-5763-432C-9496-38F23C19F9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00300" y="3715509"/>
          <a:ext cx="1576611" cy="819564"/>
        </a:xfrm>
        <a:prstGeom prst="rect">
          <a:avLst/>
        </a:prstGeom>
      </xdr:spPr>
    </xdr:pic>
    <xdr:clientData/>
  </xdr:twoCellAnchor>
  <xdr:twoCellAnchor>
    <xdr:from>
      <xdr:col>0</xdr:col>
      <xdr:colOff>47625</xdr:colOff>
      <xdr:row>29</xdr:row>
      <xdr:rowOff>81642</xdr:rowOff>
    </xdr:from>
    <xdr:to>
      <xdr:col>2</xdr:col>
      <xdr:colOff>190500</xdr:colOff>
      <xdr:row>32</xdr:row>
      <xdr:rowOff>88446</xdr:rowOff>
    </xdr:to>
    <xdr:sp macro="" textlink="">
      <xdr:nvSpPr>
        <xdr:cNvPr id="9" name="ZoneTexte 8">
          <a:extLst>
            <a:ext uri="{FF2B5EF4-FFF2-40B4-BE49-F238E27FC236}">
              <a16:creationId xmlns:a16="http://schemas.microsoft.com/office/drawing/2014/main" id="{04B729AB-9085-4190-9412-80C22101F396}"/>
            </a:ext>
          </a:extLst>
        </xdr:cNvPr>
        <xdr:cNvSpPr txBox="1"/>
      </xdr:nvSpPr>
      <xdr:spPr>
        <a:xfrm>
          <a:off x="47625" y="5729967"/>
          <a:ext cx="752475" cy="60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fr-FR" sz="900"/>
            <a:t>Armoire de commande pression maintenue</a:t>
          </a:r>
        </a:p>
      </xdr:txBody>
    </xdr:sp>
    <xdr:clientData/>
  </xdr:twoCellAnchor>
  <xdr:twoCellAnchor>
    <xdr:from>
      <xdr:col>3</xdr:col>
      <xdr:colOff>91168</xdr:colOff>
      <xdr:row>27</xdr:row>
      <xdr:rowOff>43542</xdr:rowOff>
    </xdr:from>
    <xdr:to>
      <xdr:col>6</xdr:col>
      <xdr:colOff>238125</xdr:colOff>
      <xdr:row>28</xdr:row>
      <xdr:rowOff>13607</xdr:rowOff>
    </xdr:to>
    <xdr:sp macro="" textlink="">
      <xdr:nvSpPr>
        <xdr:cNvPr id="10" name="ZoneTexte 9">
          <a:extLst>
            <a:ext uri="{FF2B5EF4-FFF2-40B4-BE49-F238E27FC236}">
              <a16:creationId xmlns:a16="http://schemas.microsoft.com/office/drawing/2014/main" id="{F57910F3-A3A6-44A4-B74C-24A514DDDF72}"/>
            </a:ext>
          </a:extLst>
        </xdr:cNvPr>
        <xdr:cNvSpPr txBox="1"/>
      </xdr:nvSpPr>
      <xdr:spPr>
        <a:xfrm>
          <a:off x="967468" y="5291817"/>
          <a:ext cx="947057" cy="170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fr-FR" sz="900"/>
            <a:t>2 télécommandes</a:t>
          </a:r>
        </a:p>
      </xdr:txBody>
    </xdr:sp>
    <xdr:clientData/>
  </xdr:twoCellAnchor>
  <xdr:twoCellAnchor>
    <xdr:from>
      <xdr:col>3</xdr:col>
      <xdr:colOff>100693</xdr:colOff>
      <xdr:row>30</xdr:row>
      <xdr:rowOff>141504</xdr:rowOff>
    </xdr:from>
    <xdr:to>
      <xdr:col>6</xdr:col>
      <xdr:colOff>247650</xdr:colOff>
      <xdr:row>37</xdr:row>
      <xdr:rowOff>34009</xdr:rowOff>
    </xdr:to>
    <xdr:sp macro="" textlink="">
      <xdr:nvSpPr>
        <xdr:cNvPr id="11" name="ZoneTexte 10">
          <a:extLst>
            <a:ext uri="{FF2B5EF4-FFF2-40B4-BE49-F238E27FC236}">
              <a16:creationId xmlns:a16="http://schemas.microsoft.com/office/drawing/2014/main" id="{21494677-14CA-4020-BDB5-B356CEEC1FED}"/>
            </a:ext>
          </a:extLst>
        </xdr:cNvPr>
        <xdr:cNvSpPr txBox="1"/>
      </xdr:nvSpPr>
      <xdr:spPr>
        <a:xfrm>
          <a:off x="976993" y="5989854"/>
          <a:ext cx="947057" cy="1216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lang="fr-FR" sz="900"/>
            <a:t>Pare-chute</a:t>
          </a:r>
        </a:p>
        <a:p>
          <a:pPr algn="ctr"/>
          <a:r>
            <a:rPr lang="fr-FR" sz="900" i="1"/>
            <a:t>Obligatoire</a:t>
          </a:r>
          <a:r>
            <a:rPr lang="fr-FR" sz="900" i="1" baseline="0"/>
            <a:t> pour respecter la norme</a:t>
          </a:r>
          <a:endParaRPr lang="fr-FR" sz="900" i="1"/>
        </a:p>
      </xdr:txBody>
    </xdr:sp>
    <xdr:clientData/>
  </xdr:twoCellAnchor>
  <xdr:twoCellAnchor editAs="oneCell">
    <xdr:from>
      <xdr:col>9</xdr:col>
      <xdr:colOff>104776</xdr:colOff>
      <xdr:row>45</xdr:row>
      <xdr:rowOff>152402</xdr:rowOff>
    </xdr:from>
    <xdr:to>
      <xdr:col>15</xdr:col>
      <xdr:colOff>66676</xdr:colOff>
      <xdr:row>47</xdr:row>
      <xdr:rowOff>47084</xdr:rowOff>
    </xdr:to>
    <xdr:pic>
      <xdr:nvPicPr>
        <xdr:cNvPr id="12" name="Graphique 11">
          <a:extLst>
            <a:ext uri="{FF2B5EF4-FFF2-40B4-BE49-F238E27FC236}">
              <a16:creationId xmlns:a16="http://schemas.microsoft.com/office/drawing/2014/main" id="{D01155A7-5B50-4EF7-9A1F-D4D6CA44F90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rot="20989579">
          <a:off x="2581276" y="9353552"/>
          <a:ext cx="1562100" cy="218532"/>
        </a:xfrm>
        <a:prstGeom prst="rect">
          <a:avLst/>
        </a:prstGeom>
      </xdr:spPr>
    </xdr:pic>
    <xdr:clientData/>
  </xdr:twoCellAnchor>
  <xdr:twoCellAnchor editAs="oneCell">
    <xdr:from>
      <xdr:col>0</xdr:col>
      <xdr:colOff>47625</xdr:colOff>
      <xdr:row>10</xdr:row>
      <xdr:rowOff>9525</xdr:rowOff>
    </xdr:from>
    <xdr:to>
      <xdr:col>6</xdr:col>
      <xdr:colOff>262209</xdr:colOff>
      <xdr:row>16</xdr:row>
      <xdr:rowOff>9525</xdr:rowOff>
    </xdr:to>
    <xdr:pic>
      <xdr:nvPicPr>
        <xdr:cNvPr id="13" name="Image 12">
          <a:extLst>
            <a:ext uri="{FF2B5EF4-FFF2-40B4-BE49-F238E27FC236}">
              <a16:creationId xmlns:a16="http://schemas.microsoft.com/office/drawing/2014/main" id="{0B61A869-9B83-4577-9A65-F3A38D2679D3}"/>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9253" t="6621" r="9052" b="8192"/>
        <a:stretch/>
      </xdr:blipFill>
      <xdr:spPr>
        <a:xfrm>
          <a:off x="47625" y="2457450"/>
          <a:ext cx="1890984" cy="1181100"/>
        </a:xfrm>
        <a:prstGeom prst="rect">
          <a:avLst/>
        </a:prstGeom>
      </xdr:spPr>
    </xdr:pic>
    <xdr:clientData/>
  </xdr:twoCellAnchor>
  <xdr:twoCellAnchor editAs="oneCell">
    <xdr:from>
      <xdr:col>0</xdr:col>
      <xdr:colOff>289891</xdr:colOff>
      <xdr:row>16</xdr:row>
      <xdr:rowOff>86484</xdr:rowOff>
    </xdr:from>
    <xdr:to>
      <xdr:col>6</xdr:col>
      <xdr:colOff>191759</xdr:colOff>
      <xdr:row>21</xdr:row>
      <xdr:rowOff>96423</xdr:rowOff>
    </xdr:to>
    <xdr:pic>
      <xdr:nvPicPr>
        <xdr:cNvPr id="14" name="Image 13">
          <a:extLst>
            <a:ext uri="{FF2B5EF4-FFF2-40B4-BE49-F238E27FC236}">
              <a16:creationId xmlns:a16="http://schemas.microsoft.com/office/drawing/2014/main" id="{EF23BE39-F977-4911-86A5-EA87543117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89891" y="3715509"/>
          <a:ext cx="1578268" cy="819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16566</xdr:colOff>
      <xdr:row>10</xdr:row>
      <xdr:rowOff>57981</xdr:rowOff>
    </xdr:from>
    <xdr:to>
      <xdr:col>23</xdr:col>
      <xdr:colOff>218247</xdr:colOff>
      <xdr:row>11</xdr:row>
      <xdr:rowOff>259663</xdr:rowOff>
    </xdr:to>
    <xdr:sp macro="" textlink="">
      <xdr:nvSpPr>
        <xdr:cNvPr id="3" name="Ellipse 2">
          <a:extLst>
            <a:ext uri="{FF2B5EF4-FFF2-40B4-BE49-F238E27FC236}">
              <a16:creationId xmlns:a16="http://schemas.microsoft.com/office/drawing/2014/main" id="{79A9A6EF-62C6-4854-828B-6E388A00D800}"/>
            </a:ext>
          </a:extLst>
        </xdr:cNvPr>
        <xdr:cNvSpPr>
          <a:spLocks noChangeAspect="1"/>
        </xdr:cNvSpPr>
      </xdr:nvSpPr>
      <xdr:spPr>
        <a:xfrm>
          <a:off x="5922066" y="1772481"/>
          <a:ext cx="466725" cy="466725"/>
        </a:xfrm>
        <a:prstGeom prst="ellipse">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1059170" rtl="0" eaLnBrk="1" latinLnBrk="0" hangingPunct="1">
            <a:defRPr sz="2083" kern="1200">
              <a:solidFill>
                <a:schemeClr val="lt1"/>
              </a:solidFill>
              <a:latin typeface="+mn-lt"/>
              <a:ea typeface="+mn-ea"/>
              <a:cs typeface="+mn-cs"/>
            </a:defRPr>
          </a:lvl1pPr>
          <a:lvl2pPr marL="529585" algn="l" defTabSz="1059170" rtl="0" eaLnBrk="1" latinLnBrk="0" hangingPunct="1">
            <a:defRPr sz="2083" kern="1200">
              <a:solidFill>
                <a:schemeClr val="lt1"/>
              </a:solidFill>
              <a:latin typeface="+mn-lt"/>
              <a:ea typeface="+mn-ea"/>
              <a:cs typeface="+mn-cs"/>
            </a:defRPr>
          </a:lvl2pPr>
          <a:lvl3pPr marL="1059170" algn="l" defTabSz="1059170" rtl="0" eaLnBrk="1" latinLnBrk="0" hangingPunct="1">
            <a:defRPr sz="2083" kern="1200">
              <a:solidFill>
                <a:schemeClr val="lt1"/>
              </a:solidFill>
              <a:latin typeface="+mn-lt"/>
              <a:ea typeface="+mn-ea"/>
              <a:cs typeface="+mn-cs"/>
            </a:defRPr>
          </a:lvl3pPr>
          <a:lvl4pPr marL="1588755" algn="l" defTabSz="1059170" rtl="0" eaLnBrk="1" latinLnBrk="0" hangingPunct="1">
            <a:defRPr sz="2083" kern="1200">
              <a:solidFill>
                <a:schemeClr val="lt1"/>
              </a:solidFill>
              <a:latin typeface="+mn-lt"/>
              <a:ea typeface="+mn-ea"/>
              <a:cs typeface="+mn-cs"/>
            </a:defRPr>
          </a:lvl4pPr>
          <a:lvl5pPr marL="2118339" algn="l" defTabSz="1059170" rtl="0" eaLnBrk="1" latinLnBrk="0" hangingPunct="1">
            <a:defRPr sz="2083" kern="1200">
              <a:solidFill>
                <a:schemeClr val="lt1"/>
              </a:solidFill>
              <a:latin typeface="+mn-lt"/>
              <a:ea typeface="+mn-ea"/>
              <a:cs typeface="+mn-cs"/>
            </a:defRPr>
          </a:lvl5pPr>
          <a:lvl6pPr marL="2647924" algn="l" defTabSz="1059170" rtl="0" eaLnBrk="1" latinLnBrk="0" hangingPunct="1">
            <a:defRPr sz="2083" kern="1200">
              <a:solidFill>
                <a:schemeClr val="lt1"/>
              </a:solidFill>
              <a:latin typeface="+mn-lt"/>
              <a:ea typeface="+mn-ea"/>
              <a:cs typeface="+mn-cs"/>
            </a:defRPr>
          </a:lvl6pPr>
          <a:lvl7pPr marL="3177509" algn="l" defTabSz="1059170" rtl="0" eaLnBrk="1" latinLnBrk="0" hangingPunct="1">
            <a:defRPr sz="2083" kern="1200">
              <a:solidFill>
                <a:schemeClr val="lt1"/>
              </a:solidFill>
              <a:latin typeface="+mn-lt"/>
              <a:ea typeface="+mn-ea"/>
              <a:cs typeface="+mn-cs"/>
            </a:defRPr>
          </a:lvl7pPr>
          <a:lvl8pPr marL="3707094" algn="l" defTabSz="1059170" rtl="0" eaLnBrk="1" latinLnBrk="0" hangingPunct="1">
            <a:defRPr sz="2083" kern="1200">
              <a:solidFill>
                <a:schemeClr val="lt1"/>
              </a:solidFill>
              <a:latin typeface="+mn-lt"/>
              <a:ea typeface="+mn-ea"/>
              <a:cs typeface="+mn-cs"/>
            </a:defRPr>
          </a:lvl8pPr>
          <a:lvl9pPr marL="4236679" algn="l" defTabSz="1059170" rtl="0" eaLnBrk="1" latinLnBrk="0" hangingPunct="1">
            <a:defRPr sz="2083" kern="1200">
              <a:solidFill>
                <a:schemeClr val="lt1"/>
              </a:solidFill>
              <a:latin typeface="+mn-lt"/>
              <a:ea typeface="+mn-ea"/>
              <a:cs typeface="+mn-cs"/>
            </a:defRPr>
          </a:lvl9pPr>
        </a:lstStyle>
        <a:p>
          <a:pPr algn="ctr"/>
          <a:endParaRPr lang="fr-FR"/>
        </a:p>
      </xdr:txBody>
    </xdr:sp>
    <xdr:clientData/>
  </xdr:twoCellAnchor>
  <xdr:twoCellAnchor editAs="oneCell">
    <xdr:from>
      <xdr:col>4</xdr:col>
      <xdr:colOff>165651</xdr:colOff>
      <xdr:row>41</xdr:row>
      <xdr:rowOff>10090</xdr:rowOff>
    </xdr:from>
    <xdr:to>
      <xdr:col>6</xdr:col>
      <xdr:colOff>231913</xdr:colOff>
      <xdr:row>47</xdr:row>
      <xdr:rowOff>29817</xdr:rowOff>
    </xdr:to>
    <xdr:pic>
      <xdr:nvPicPr>
        <xdr:cNvPr id="6" name="Image 5">
          <a:extLst>
            <a:ext uri="{FF2B5EF4-FFF2-40B4-BE49-F238E27FC236}">
              <a16:creationId xmlns:a16="http://schemas.microsoft.com/office/drawing/2014/main" id="{7A36E22C-6D9F-4A4A-AA3E-E389EA675FC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541" r="12210"/>
        <a:stretch/>
      </xdr:blipFill>
      <xdr:spPr>
        <a:xfrm>
          <a:off x="1300368" y="6487090"/>
          <a:ext cx="596349" cy="864553"/>
        </a:xfrm>
        <a:prstGeom prst="rect">
          <a:avLst/>
        </a:prstGeom>
      </xdr:spPr>
    </xdr:pic>
    <xdr:clientData/>
  </xdr:twoCellAnchor>
  <xdr:twoCellAnchor editAs="oneCell">
    <xdr:from>
      <xdr:col>7</xdr:col>
      <xdr:colOff>173934</xdr:colOff>
      <xdr:row>39</xdr:row>
      <xdr:rowOff>124238</xdr:rowOff>
    </xdr:from>
    <xdr:to>
      <xdr:col>8</xdr:col>
      <xdr:colOff>98490</xdr:colOff>
      <xdr:row>42</xdr:row>
      <xdr:rowOff>128379</xdr:rowOff>
    </xdr:to>
    <xdr:pic>
      <xdr:nvPicPr>
        <xdr:cNvPr id="13" name="Image 12">
          <a:extLst>
            <a:ext uri="{FF2B5EF4-FFF2-40B4-BE49-F238E27FC236}">
              <a16:creationId xmlns:a16="http://schemas.microsoft.com/office/drawing/2014/main" id="{C757E59D-F83F-4572-BBF2-ABAC8B36E4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03782" y="6245086"/>
          <a:ext cx="264143" cy="426555"/>
        </a:xfrm>
        <a:prstGeom prst="rect">
          <a:avLst/>
        </a:prstGeom>
      </xdr:spPr>
    </xdr:pic>
    <xdr:clientData/>
  </xdr:twoCellAnchor>
  <xdr:twoCellAnchor editAs="oneCell">
    <xdr:from>
      <xdr:col>9</xdr:col>
      <xdr:colOff>3312</xdr:colOff>
      <xdr:row>39</xdr:row>
      <xdr:rowOff>124238</xdr:rowOff>
    </xdr:from>
    <xdr:to>
      <xdr:col>10</xdr:col>
      <xdr:colOff>1510</xdr:colOff>
      <xdr:row>42</xdr:row>
      <xdr:rowOff>128379</xdr:rowOff>
    </xdr:to>
    <xdr:pic>
      <xdr:nvPicPr>
        <xdr:cNvPr id="14" name="Image 13">
          <a:extLst>
            <a:ext uri="{FF2B5EF4-FFF2-40B4-BE49-F238E27FC236}">
              <a16:creationId xmlns:a16="http://schemas.microsoft.com/office/drawing/2014/main" id="{76AD7346-511D-4031-9392-E5D2E8FB560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463247" y="6245086"/>
          <a:ext cx="263242" cy="426555"/>
        </a:xfrm>
        <a:prstGeom prst="rect">
          <a:avLst/>
        </a:prstGeom>
      </xdr:spPr>
    </xdr:pic>
    <xdr:clientData/>
  </xdr:twoCellAnchor>
  <xdr:twoCellAnchor editAs="oneCell">
    <xdr:from>
      <xdr:col>21</xdr:col>
      <xdr:colOff>159119</xdr:colOff>
      <xdr:row>44</xdr:row>
      <xdr:rowOff>16565</xdr:rowOff>
    </xdr:from>
    <xdr:to>
      <xdr:col>23</xdr:col>
      <xdr:colOff>258728</xdr:colOff>
      <xdr:row>47</xdr:row>
      <xdr:rowOff>15126</xdr:rowOff>
    </xdr:to>
    <xdr:pic>
      <xdr:nvPicPr>
        <xdr:cNvPr id="24" name="Image 23">
          <a:extLst>
            <a:ext uri="{FF2B5EF4-FFF2-40B4-BE49-F238E27FC236}">
              <a16:creationId xmlns:a16="http://schemas.microsoft.com/office/drawing/2014/main" id="{480D9EBD-6AED-4DB0-8AD5-63750A1E749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99576" y="6841435"/>
          <a:ext cx="629696" cy="420974"/>
        </a:xfrm>
        <a:prstGeom prst="rect">
          <a:avLst/>
        </a:prstGeom>
      </xdr:spPr>
    </xdr:pic>
    <xdr:clientData/>
  </xdr:twoCellAnchor>
  <xdr:twoCellAnchor editAs="oneCell">
    <xdr:from>
      <xdr:col>7</xdr:col>
      <xdr:colOff>182219</xdr:colOff>
      <xdr:row>43</xdr:row>
      <xdr:rowOff>124242</xdr:rowOff>
    </xdr:from>
    <xdr:to>
      <xdr:col>8</xdr:col>
      <xdr:colOff>263398</xdr:colOff>
      <xdr:row>46</xdr:row>
      <xdr:rowOff>140801</xdr:rowOff>
    </xdr:to>
    <xdr:pic>
      <xdr:nvPicPr>
        <xdr:cNvPr id="7" name="Image 6">
          <a:extLst>
            <a:ext uri="{FF2B5EF4-FFF2-40B4-BE49-F238E27FC236}">
              <a16:creationId xmlns:a16="http://schemas.microsoft.com/office/drawing/2014/main" id="{9C25FF7C-147B-4FCC-9594-63E7CE70300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12067" y="6808307"/>
          <a:ext cx="420766" cy="438972"/>
        </a:xfrm>
        <a:prstGeom prst="rect">
          <a:avLst/>
        </a:prstGeom>
      </xdr:spPr>
    </xdr:pic>
    <xdr:clientData/>
  </xdr:twoCellAnchor>
  <xdr:twoCellAnchor editAs="oneCell">
    <xdr:from>
      <xdr:col>19</xdr:col>
      <xdr:colOff>241855</xdr:colOff>
      <xdr:row>43</xdr:row>
      <xdr:rowOff>125898</xdr:rowOff>
    </xdr:from>
    <xdr:to>
      <xdr:col>21</xdr:col>
      <xdr:colOff>132534</xdr:colOff>
      <xdr:row>47</xdr:row>
      <xdr:rowOff>1653</xdr:rowOff>
    </xdr:to>
    <xdr:pic>
      <xdr:nvPicPr>
        <xdr:cNvPr id="65" name="Image 64">
          <a:extLst>
            <a:ext uri="{FF2B5EF4-FFF2-40B4-BE49-F238E27FC236}">
              <a16:creationId xmlns:a16="http://schemas.microsoft.com/office/drawing/2014/main" id="{8B12C361-83D1-4639-9101-28CF42449BD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352225" y="6809963"/>
          <a:ext cx="420766" cy="438972"/>
        </a:xfrm>
        <a:prstGeom prst="rect">
          <a:avLst/>
        </a:prstGeom>
      </xdr:spPr>
    </xdr:pic>
    <xdr:clientData/>
  </xdr:twoCellAnchor>
  <xdr:twoCellAnchor>
    <xdr:from>
      <xdr:col>7</xdr:col>
      <xdr:colOff>223630</xdr:colOff>
      <xdr:row>3</xdr:row>
      <xdr:rowOff>24848</xdr:rowOff>
    </xdr:from>
    <xdr:to>
      <xdr:col>22</xdr:col>
      <xdr:colOff>207066</xdr:colOff>
      <xdr:row>6</xdr:row>
      <xdr:rowOff>157370</xdr:rowOff>
    </xdr:to>
    <xdr:sp macro="" textlink="">
      <xdr:nvSpPr>
        <xdr:cNvPr id="8" name="ZoneTexte 7">
          <a:extLst>
            <a:ext uri="{FF2B5EF4-FFF2-40B4-BE49-F238E27FC236}">
              <a16:creationId xmlns:a16="http://schemas.microsoft.com/office/drawing/2014/main" id="{56DB1F03-79E0-493A-B51B-4A585E4C73B9}"/>
            </a:ext>
          </a:extLst>
        </xdr:cNvPr>
        <xdr:cNvSpPr txBox="1"/>
      </xdr:nvSpPr>
      <xdr:spPr>
        <a:xfrm>
          <a:off x="2153478" y="579783"/>
          <a:ext cx="3959088" cy="629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fr-FR" sz="2800" b="1">
              <a:solidFill>
                <a:schemeClr val="accent1">
                  <a:lumMod val="50000"/>
                </a:schemeClr>
              </a:solidFill>
            </a:rPr>
            <a:t>Prix de</a:t>
          </a:r>
          <a:r>
            <a:rPr lang="fr-FR" sz="2800" b="1" baseline="0">
              <a:solidFill>
                <a:schemeClr val="accent1">
                  <a:lumMod val="50000"/>
                </a:schemeClr>
              </a:solidFill>
            </a:rPr>
            <a:t> la porte ROLLPARK </a:t>
          </a:r>
          <a:endParaRPr lang="fr-FR" sz="2800" b="1">
            <a:solidFill>
              <a:schemeClr val="accent1">
                <a:lumMod val="50000"/>
              </a:schemeClr>
            </a:solidFill>
          </a:endParaRPr>
        </a:p>
      </xdr:txBody>
    </xdr:sp>
    <xdr:clientData/>
  </xdr:twoCellAnchor>
  <xdr:twoCellAnchor>
    <xdr:from>
      <xdr:col>22</xdr:col>
      <xdr:colOff>202096</xdr:colOff>
      <xdr:row>1</xdr:row>
      <xdr:rowOff>107674</xdr:rowOff>
    </xdr:from>
    <xdr:to>
      <xdr:col>24</xdr:col>
      <xdr:colOff>0</xdr:colOff>
      <xdr:row>5</xdr:row>
      <xdr:rowOff>160682</xdr:rowOff>
    </xdr:to>
    <xdr:sp macro="" textlink="">
      <xdr:nvSpPr>
        <xdr:cNvPr id="116" name="ZoneTexte 115">
          <a:extLst>
            <a:ext uri="{FF2B5EF4-FFF2-40B4-BE49-F238E27FC236}">
              <a16:creationId xmlns:a16="http://schemas.microsoft.com/office/drawing/2014/main" id="{6A5048B6-CF3F-4919-946C-F8C1FEFAD49D}"/>
            </a:ext>
          </a:extLst>
        </xdr:cNvPr>
        <xdr:cNvSpPr txBox="1"/>
      </xdr:nvSpPr>
      <xdr:spPr>
        <a:xfrm>
          <a:off x="6107596" y="107674"/>
          <a:ext cx="538369" cy="690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fr-FR" sz="5400" baseline="0">
              <a:solidFill>
                <a:schemeClr val="accent1">
                  <a:lumMod val="50000"/>
                </a:schemeClr>
              </a:solidFill>
              <a:effectLst/>
              <a:latin typeface="+mn-lt"/>
              <a:ea typeface="+mn-ea"/>
              <a:cs typeface="+mn-cs"/>
            </a:rPr>
            <a:t>=</a:t>
          </a:r>
          <a:endParaRPr lang="fr-FR" sz="5400">
            <a:solidFill>
              <a:schemeClr val="accent1">
                <a:lumMod val="50000"/>
              </a:schemeClr>
            </a:solidFill>
          </a:endParaRPr>
        </a:p>
      </xdr:txBody>
    </xdr:sp>
    <xdr:clientData/>
  </xdr:twoCellAnchor>
  <xdr:oneCellAnchor>
    <xdr:from>
      <xdr:col>8</xdr:col>
      <xdr:colOff>75557</xdr:colOff>
      <xdr:row>59</xdr:row>
      <xdr:rowOff>1440</xdr:rowOff>
    </xdr:from>
    <xdr:ext cx="629695" cy="420974"/>
    <xdr:pic>
      <xdr:nvPicPr>
        <xdr:cNvPr id="15" name="Image 14">
          <a:extLst>
            <a:ext uri="{FF2B5EF4-FFF2-40B4-BE49-F238E27FC236}">
              <a16:creationId xmlns:a16="http://schemas.microsoft.com/office/drawing/2014/main" id="{47DC6650-4718-4F1F-9610-B2FEDB91619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70448" y="9137157"/>
          <a:ext cx="629695" cy="420974"/>
        </a:xfrm>
        <a:prstGeom prst="rect">
          <a:avLst/>
        </a:prstGeom>
      </xdr:spPr>
    </xdr:pic>
    <xdr:clientData/>
  </xdr:oneCellAnchor>
  <xdr:oneCellAnchor>
    <xdr:from>
      <xdr:col>4</xdr:col>
      <xdr:colOff>197161</xdr:colOff>
      <xdr:row>60</xdr:row>
      <xdr:rowOff>49502</xdr:rowOff>
    </xdr:from>
    <xdr:ext cx="335486" cy="213376"/>
    <xdr:pic>
      <xdr:nvPicPr>
        <xdr:cNvPr id="17" name="Image 16">
          <a:extLst>
            <a:ext uri="{FF2B5EF4-FFF2-40B4-BE49-F238E27FC236}">
              <a16:creationId xmlns:a16="http://schemas.microsoft.com/office/drawing/2014/main" id="{59CC042B-D515-48B4-A1AD-DEF4E3ED633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31878" y="9640763"/>
          <a:ext cx="335486" cy="213376"/>
        </a:xfrm>
        <a:prstGeom prst="rect">
          <a:avLst/>
        </a:prstGeom>
      </xdr:spPr>
    </xdr:pic>
    <xdr:clientData/>
  </xdr:oneCellAnchor>
  <xdr:oneCellAnchor>
    <xdr:from>
      <xdr:col>8</xdr:col>
      <xdr:colOff>99392</xdr:colOff>
      <xdr:row>54</xdr:row>
      <xdr:rowOff>63429</xdr:rowOff>
    </xdr:from>
    <xdr:ext cx="320345" cy="501348"/>
    <xdr:pic>
      <xdr:nvPicPr>
        <xdr:cNvPr id="18" name="Image 17">
          <a:extLst>
            <a:ext uri="{FF2B5EF4-FFF2-40B4-BE49-F238E27FC236}">
              <a16:creationId xmlns:a16="http://schemas.microsoft.com/office/drawing/2014/main" id="{6415DC8E-A37B-4484-8012-A3DB9E342AD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31661"/>
        <a:stretch/>
      </xdr:blipFill>
      <xdr:spPr>
        <a:xfrm>
          <a:off x="2294283" y="8428864"/>
          <a:ext cx="320345" cy="501348"/>
        </a:xfrm>
        <a:prstGeom prst="rect">
          <a:avLst/>
        </a:prstGeom>
      </xdr:spPr>
    </xdr:pic>
    <xdr:clientData/>
  </xdr:oneCellAnchor>
  <xdr:oneCellAnchor>
    <xdr:from>
      <xdr:col>9</xdr:col>
      <xdr:colOff>160798</xdr:colOff>
      <xdr:row>54</xdr:row>
      <xdr:rowOff>70153</xdr:rowOff>
    </xdr:from>
    <xdr:ext cx="320344" cy="501348"/>
    <xdr:pic>
      <xdr:nvPicPr>
        <xdr:cNvPr id="20" name="Image 19">
          <a:extLst>
            <a:ext uri="{FF2B5EF4-FFF2-40B4-BE49-F238E27FC236}">
              <a16:creationId xmlns:a16="http://schemas.microsoft.com/office/drawing/2014/main" id="{C56AE35A-A2A5-4DF9-99D4-51085F3AC48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r="31661"/>
        <a:stretch/>
      </xdr:blipFill>
      <xdr:spPr>
        <a:xfrm>
          <a:off x="2620733" y="8435588"/>
          <a:ext cx="320344" cy="501348"/>
        </a:xfrm>
        <a:prstGeom prst="rect">
          <a:avLst/>
        </a:prstGeom>
      </xdr:spPr>
    </xdr:pic>
    <xdr:clientData/>
  </xdr:oneCellAnchor>
  <xdr:oneCellAnchor>
    <xdr:from>
      <xdr:col>6</xdr:col>
      <xdr:colOff>59192</xdr:colOff>
      <xdr:row>59</xdr:row>
      <xdr:rowOff>75100</xdr:rowOff>
    </xdr:from>
    <xdr:ext cx="475658" cy="318476"/>
    <xdr:pic>
      <xdr:nvPicPr>
        <xdr:cNvPr id="23" name="Image 22">
          <a:extLst>
            <a:ext uri="{FF2B5EF4-FFF2-40B4-BE49-F238E27FC236}">
              <a16:creationId xmlns:a16="http://schemas.microsoft.com/office/drawing/2014/main" id="{86069680-1544-48A3-8416-786645B598CA}"/>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2112" t="43724" r="10223" b="5072"/>
        <a:stretch/>
      </xdr:blipFill>
      <xdr:spPr>
        <a:xfrm>
          <a:off x="1723996" y="9525557"/>
          <a:ext cx="475658" cy="318476"/>
        </a:xfrm>
        <a:prstGeom prst="rect">
          <a:avLst/>
        </a:prstGeom>
      </xdr:spPr>
    </xdr:pic>
    <xdr:clientData/>
  </xdr:oneCellAnchor>
  <xdr:oneCellAnchor>
    <xdr:from>
      <xdr:col>21</xdr:col>
      <xdr:colOff>107673</xdr:colOff>
      <xdr:row>55</xdr:row>
      <xdr:rowOff>14079</xdr:rowOff>
    </xdr:from>
    <xdr:ext cx="259136" cy="426847"/>
    <xdr:pic>
      <xdr:nvPicPr>
        <xdr:cNvPr id="26" name="Image 25">
          <a:extLst>
            <a:ext uri="{FF2B5EF4-FFF2-40B4-BE49-F238E27FC236}">
              <a16:creationId xmlns:a16="http://schemas.microsoft.com/office/drawing/2014/main" id="{46A7906D-6D60-4E35-86B0-2D1B660DC52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748130" y="8586579"/>
          <a:ext cx="259136" cy="426847"/>
        </a:xfrm>
        <a:prstGeom prst="rect">
          <a:avLst/>
        </a:prstGeom>
      </xdr:spPr>
    </xdr:pic>
    <xdr:clientData/>
  </xdr:oneCellAnchor>
  <xdr:oneCellAnchor>
    <xdr:from>
      <xdr:col>22</xdr:col>
      <xdr:colOff>215738</xdr:colOff>
      <xdr:row>55</xdr:row>
      <xdr:rowOff>7866</xdr:rowOff>
    </xdr:from>
    <xdr:ext cx="259135" cy="426847"/>
    <xdr:pic>
      <xdr:nvPicPr>
        <xdr:cNvPr id="27" name="Image 26">
          <a:extLst>
            <a:ext uri="{FF2B5EF4-FFF2-40B4-BE49-F238E27FC236}">
              <a16:creationId xmlns:a16="http://schemas.microsoft.com/office/drawing/2014/main" id="{BCFFF3E6-B40C-498B-90D1-0489BC6F9E2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121238" y="8580366"/>
          <a:ext cx="259135" cy="426847"/>
        </a:xfrm>
        <a:prstGeom prst="rect">
          <a:avLst/>
        </a:prstGeom>
      </xdr:spPr>
    </xdr:pic>
    <xdr:clientData/>
  </xdr:oneCellAnchor>
  <xdr:oneCellAnchor>
    <xdr:from>
      <xdr:col>22</xdr:col>
      <xdr:colOff>132792</xdr:colOff>
      <xdr:row>63</xdr:row>
      <xdr:rowOff>56910</xdr:rowOff>
    </xdr:from>
    <xdr:ext cx="364165" cy="244780"/>
    <xdr:pic>
      <xdr:nvPicPr>
        <xdr:cNvPr id="28" name="Image 27">
          <a:extLst>
            <a:ext uri="{FF2B5EF4-FFF2-40B4-BE49-F238E27FC236}">
              <a16:creationId xmlns:a16="http://schemas.microsoft.com/office/drawing/2014/main" id="{61A8D4D9-8CAD-4501-B084-6A6FED89084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2112" t="43692" r="10223" b="5071"/>
        <a:stretch/>
      </xdr:blipFill>
      <xdr:spPr>
        <a:xfrm>
          <a:off x="6038292" y="9656453"/>
          <a:ext cx="364165" cy="244780"/>
        </a:xfrm>
        <a:prstGeom prst="rect">
          <a:avLst/>
        </a:prstGeom>
      </xdr:spPr>
    </xdr:pic>
    <xdr:clientData/>
  </xdr:oneCellAnchor>
  <xdr:oneCellAnchor>
    <xdr:from>
      <xdr:col>6</xdr:col>
      <xdr:colOff>198782</xdr:colOff>
      <xdr:row>54</xdr:row>
      <xdr:rowOff>115962</xdr:rowOff>
    </xdr:from>
    <xdr:ext cx="420766" cy="438972"/>
    <xdr:pic>
      <xdr:nvPicPr>
        <xdr:cNvPr id="29" name="Image 28">
          <a:extLst>
            <a:ext uri="{FF2B5EF4-FFF2-40B4-BE49-F238E27FC236}">
              <a16:creationId xmlns:a16="http://schemas.microsoft.com/office/drawing/2014/main" id="{B5B3F63B-2044-4715-9C76-7806172EA49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863586" y="8481397"/>
          <a:ext cx="420766" cy="438972"/>
        </a:xfrm>
        <a:prstGeom prst="rect">
          <a:avLst/>
        </a:prstGeom>
      </xdr:spPr>
    </xdr:pic>
    <xdr:clientData/>
  </xdr:oneCellAnchor>
  <xdr:oneCellAnchor>
    <xdr:from>
      <xdr:col>22</xdr:col>
      <xdr:colOff>94427</xdr:colOff>
      <xdr:row>58</xdr:row>
      <xdr:rowOff>101470</xdr:rowOff>
    </xdr:from>
    <xdr:ext cx="420766" cy="438972"/>
    <xdr:pic>
      <xdr:nvPicPr>
        <xdr:cNvPr id="30" name="Image 29">
          <a:extLst>
            <a:ext uri="{FF2B5EF4-FFF2-40B4-BE49-F238E27FC236}">
              <a16:creationId xmlns:a16="http://schemas.microsoft.com/office/drawing/2014/main" id="{10C2CB4C-1896-47B4-9670-FCD1CBC64DF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99927" y="9030122"/>
          <a:ext cx="420766" cy="438972"/>
        </a:xfrm>
        <a:prstGeom prst="rect">
          <a:avLst/>
        </a:prstGeom>
      </xdr:spPr>
    </xdr:pic>
    <xdr:clientData/>
  </xdr:oneCellAnchor>
  <xdr:twoCellAnchor editAs="oneCell">
    <xdr:from>
      <xdr:col>19</xdr:col>
      <xdr:colOff>74542</xdr:colOff>
      <xdr:row>11</xdr:row>
      <xdr:rowOff>91107</xdr:rowOff>
    </xdr:from>
    <xdr:to>
      <xdr:col>20</xdr:col>
      <xdr:colOff>240195</xdr:colOff>
      <xdr:row>14</xdr:row>
      <xdr:rowOff>33128</xdr:rowOff>
    </xdr:to>
    <xdr:pic>
      <xdr:nvPicPr>
        <xdr:cNvPr id="9" name="Graphique 8">
          <a:extLst>
            <a:ext uri="{FF2B5EF4-FFF2-40B4-BE49-F238E27FC236}">
              <a16:creationId xmlns:a16="http://schemas.microsoft.com/office/drawing/2014/main" id="{9772AC45-FD6A-4BF6-9484-206A9DE06604}"/>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rcRect l="7180" t="17391" r="51336" b="18840"/>
        <a:stretch/>
      </xdr:blipFill>
      <xdr:spPr>
        <a:xfrm>
          <a:off x="5184912" y="1962977"/>
          <a:ext cx="430697" cy="455543"/>
        </a:xfrm>
        <a:prstGeom prst="rect">
          <a:avLst/>
        </a:prstGeom>
      </xdr:spPr>
    </xdr:pic>
    <xdr:clientData/>
  </xdr:twoCellAnchor>
  <xdr:twoCellAnchor editAs="oneCell">
    <xdr:from>
      <xdr:col>9</xdr:col>
      <xdr:colOff>82828</xdr:colOff>
      <xdr:row>33</xdr:row>
      <xdr:rowOff>61290</xdr:rowOff>
    </xdr:from>
    <xdr:to>
      <xdr:col>10</xdr:col>
      <xdr:colOff>231914</xdr:colOff>
      <xdr:row>35</xdr:row>
      <xdr:rowOff>102702</xdr:rowOff>
    </xdr:to>
    <xdr:pic>
      <xdr:nvPicPr>
        <xdr:cNvPr id="37" name="Graphique 36">
          <a:extLst>
            <a:ext uri="{FF2B5EF4-FFF2-40B4-BE49-F238E27FC236}">
              <a16:creationId xmlns:a16="http://schemas.microsoft.com/office/drawing/2014/main" id="{8A464209-7953-4AE2-8AF9-274F2646DC7C}"/>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rcRect l="48345" t="17391" r="11767" b="18840"/>
        <a:stretch/>
      </xdr:blipFill>
      <xdr:spPr>
        <a:xfrm>
          <a:off x="2542763" y="5279333"/>
          <a:ext cx="414130" cy="455543"/>
        </a:xfrm>
        <a:prstGeom prst="rect">
          <a:avLst/>
        </a:prstGeom>
      </xdr:spPr>
    </xdr:pic>
    <xdr:clientData/>
  </xdr:twoCellAnchor>
  <xdr:twoCellAnchor editAs="oneCell">
    <xdr:from>
      <xdr:col>22</xdr:col>
      <xdr:colOff>53011</xdr:colOff>
      <xdr:row>33</xdr:row>
      <xdr:rowOff>39756</xdr:rowOff>
    </xdr:from>
    <xdr:to>
      <xdr:col>23</xdr:col>
      <xdr:colOff>202097</xdr:colOff>
      <xdr:row>35</xdr:row>
      <xdr:rowOff>81168</xdr:rowOff>
    </xdr:to>
    <xdr:pic>
      <xdr:nvPicPr>
        <xdr:cNvPr id="38" name="Graphique 37">
          <a:extLst>
            <a:ext uri="{FF2B5EF4-FFF2-40B4-BE49-F238E27FC236}">
              <a16:creationId xmlns:a16="http://schemas.microsoft.com/office/drawing/2014/main" id="{B7358DFE-501A-488C-AF7B-BC313C0235D4}"/>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rcRect l="48345" t="17391" r="11767" b="18840"/>
        <a:stretch/>
      </xdr:blipFill>
      <xdr:spPr>
        <a:xfrm>
          <a:off x="5958511" y="5257799"/>
          <a:ext cx="414130" cy="455543"/>
        </a:xfrm>
        <a:prstGeom prst="rect">
          <a:avLst/>
        </a:prstGeom>
      </xdr:spPr>
    </xdr:pic>
    <xdr:clientData/>
  </xdr:twoCellAnchor>
  <xdr:twoCellAnchor editAs="oneCell">
    <xdr:from>
      <xdr:col>9</xdr:col>
      <xdr:colOff>64606</xdr:colOff>
      <xdr:row>47</xdr:row>
      <xdr:rowOff>16567</xdr:rowOff>
    </xdr:from>
    <xdr:to>
      <xdr:col>10</xdr:col>
      <xdr:colOff>213692</xdr:colOff>
      <xdr:row>49</xdr:row>
      <xdr:rowOff>82827</xdr:rowOff>
    </xdr:to>
    <xdr:pic>
      <xdr:nvPicPr>
        <xdr:cNvPr id="39" name="Graphique 38">
          <a:extLst>
            <a:ext uri="{FF2B5EF4-FFF2-40B4-BE49-F238E27FC236}">
              <a16:creationId xmlns:a16="http://schemas.microsoft.com/office/drawing/2014/main" id="{5A5C661C-AFC7-4302-B7DC-0CC4FD324B19}"/>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rcRect l="48345" t="17391" r="11767" b="18840"/>
        <a:stretch/>
      </xdr:blipFill>
      <xdr:spPr>
        <a:xfrm>
          <a:off x="2524541" y="7263850"/>
          <a:ext cx="414130" cy="455543"/>
        </a:xfrm>
        <a:prstGeom prst="rect">
          <a:avLst/>
        </a:prstGeom>
      </xdr:spPr>
    </xdr:pic>
    <xdr:clientData/>
  </xdr:twoCellAnchor>
  <xdr:twoCellAnchor editAs="oneCell">
    <xdr:from>
      <xdr:col>22</xdr:col>
      <xdr:colOff>67920</xdr:colOff>
      <xdr:row>47</xdr:row>
      <xdr:rowOff>16567</xdr:rowOff>
    </xdr:from>
    <xdr:to>
      <xdr:col>23</xdr:col>
      <xdr:colOff>217006</xdr:colOff>
      <xdr:row>49</xdr:row>
      <xdr:rowOff>82827</xdr:rowOff>
    </xdr:to>
    <xdr:pic>
      <xdr:nvPicPr>
        <xdr:cNvPr id="40" name="Graphique 39">
          <a:extLst>
            <a:ext uri="{FF2B5EF4-FFF2-40B4-BE49-F238E27FC236}">
              <a16:creationId xmlns:a16="http://schemas.microsoft.com/office/drawing/2014/main" id="{3BB1C9D8-E1A7-4FD8-95F3-A841B38CFB33}"/>
            </a:ext>
          </a:extLst>
        </xdr:cNvPr>
        <xdr:cNvPicPr>
          <a:picLocks noChangeAspect="1"/>
        </xdr:cNvPicPr>
      </xdr:nvPicPr>
      <xdr:blipFill rotWithShape="1">
        <a:blip xmlns:r="http://schemas.openxmlformats.org/officeDocument/2006/relationships" r:embed="rId12">
          <a:extLst>
            <a:ext uri="{28A0092B-C50C-407E-A947-70E740481C1C}">
              <a14:useLocalDpi xmlns:a14="http://schemas.microsoft.com/office/drawing/2010/main" val="0"/>
            </a:ext>
            <a:ext uri="{96DAC541-7B7A-43D3-8B79-37D633B846F1}">
              <asvg:svgBlip xmlns:asvg="http://schemas.microsoft.com/office/drawing/2016/SVG/main" r:embed="rId13"/>
            </a:ext>
          </a:extLst>
        </a:blip>
        <a:srcRect l="48345" t="17391" r="11767" b="18840"/>
        <a:stretch/>
      </xdr:blipFill>
      <xdr:spPr>
        <a:xfrm>
          <a:off x="5973420" y="7263850"/>
          <a:ext cx="414130" cy="455543"/>
        </a:xfrm>
        <a:prstGeom prst="rect">
          <a:avLst/>
        </a:prstGeom>
      </xdr:spPr>
    </xdr:pic>
    <xdr:clientData/>
  </xdr:twoCellAnchor>
  <xdr:twoCellAnchor editAs="oneCell">
    <xdr:from>
      <xdr:col>3</xdr:col>
      <xdr:colOff>163305</xdr:colOff>
      <xdr:row>31</xdr:row>
      <xdr:rowOff>120223</xdr:rowOff>
    </xdr:from>
    <xdr:to>
      <xdr:col>10</xdr:col>
      <xdr:colOff>202658</xdr:colOff>
      <xdr:row>33</xdr:row>
      <xdr:rowOff>30172</xdr:rowOff>
    </xdr:to>
    <xdr:pic>
      <xdr:nvPicPr>
        <xdr:cNvPr id="4" name="Graphique 3">
          <a:extLst>
            <a:ext uri="{FF2B5EF4-FFF2-40B4-BE49-F238E27FC236}">
              <a16:creationId xmlns:a16="http://schemas.microsoft.com/office/drawing/2014/main" id="{D9CC6818-C533-44A0-9743-C04C3BD51231}"/>
            </a:ext>
          </a:extLst>
        </xdr:cNvPr>
        <xdr:cNvPicPr>
          <a:picLocks noChangeAspect="1"/>
        </xdr:cNvPicPr>
      </xdr:nvPicPr>
      <xdr:blipFill rotWithShape="1">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rcRect l="1809" t="38201" r="5692" b="42797"/>
        <a:stretch/>
      </xdr:blipFill>
      <xdr:spPr>
        <a:xfrm rot="21257252">
          <a:off x="1035594" y="5053170"/>
          <a:ext cx="1974432" cy="230791"/>
        </a:xfrm>
        <a:prstGeom prst="rect">
          <a:avLst/>
        </a:prstGeom>
      </xdr:spPr>
    </xdr:pic>
    <xdr:clientData/>
  </xdr:twoCellAnchor>
  <xdr:twoCellAnchor editAs="oneCell">
    <xdr:from>
      <xdr:col>21</xdr:col>
      <xdr:colOff>175537</xdr:colOff>
      <xdr:row>62</xdr:row>
      <xdr:rowOff>66661</xdr:rowOff>
    </xdr:from>
    <xdr:to>
      <xdr:col>23</xdr:col>
      <xdr:colOff>190897</xdr:colOff>
      <xdr:row>63</xdr:row>
      <xdr:rowOff>53062</xdr:rowOff>
    </xdr:to>
    <xdr:pic>
      <xdr:nvPicPr>
        <xdr:cNvPr id="5" name="Image 4">
          <a:extLst>
            <a:ext uri="{FF2B5EF4-FFF2-40B4-BE49-F238E27FC236}">
              <a16:creationId xmlns:a16="http://schemas.microsoft.com/office/drawing/2014/main" id="{02F5EBC7-F333-42B3-A3D0-CB3368EB8FC3}"/>
            </a:ext>
          </a:extLst>
        </xdr:cNvPr>
        <xdr:cNvPicPr>
          <a:picLocks noChangeAspect="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23711" b="24060"/>
        <a:stretch/>
      </xdr:blipFill>
      <xdr:spPr>
        <a:xfrm>
          <a:off x="5815994" y="9533683"/>
          <a:ext cx="545447" cy="118922"/>
        </a:xfrm>
        <a:prstGeom prst="rect">
          <a:avLst/>
        </a:prstGeom>
      </xdr:spPr>
    </xdr:pic>
    <xdr:clientData/>
  </xdr:twoCellAnchor>
  <xdr:oneCellAnchor>
    <xdr:from>
      <xdr:col>21</xdr:col>
      <xdr:colOff>140380</xdr:colOff>
      <xdr:row>63</xdr:row>
      <xdr:rowOff>86661</xdr:rowOff>
    </xdr:from>
    <xdr:ext cx="230740" cy="163917"/>
    <xdr:pic>
      <xdr:nvPicPr>
        <xdr:cNvPr id="36" name="Image 35">
          <a:extLst>
            <a:ext uri="{FF2B5EF4-FFF2-40B4-BE49-F238E27FC236}">
              <a16:creationId xmlns:a16="http://schemas.microsoft.com/office/drawing/2014/main" id="{34B57BC6-FEE3-466D-A94B-97CE1565153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2112" t="10068" r="38678" b="55622"/>
        <a:stretch/>
      </xdr:blipFill>
      <xdr:spPr>
        <a:xfrm>
          <a:off x="5780837" y="9686204"/>
          <a:ext cx="230740" cy="163917"/>
        </a:xfrm>
        <a:prstGeom prst="rect">
          <a:avLst/>
        </a:prstGeom>
      </xdr:spPr>
    </xdr:pic>
    <xdr:clientData/>
  </xdr:oneCellAnchor>
  <xdr:twoCellAnchor editAs="oneCell">
    <xdr:from>
      <xdr:col>0</xdr:col>
      <xdr:colOff>24849</xdr:colOff>
      <xdr:row>37</xdr:row>
      <xdr:rowOff>49695</xdr:rowOff>
    </xdr:from>
    <xdr:to>
      <xdr:col>10</xdr:col>
      <xdr:colOff>190500</xdr:colOff>
      <xdr:row>39</xdr:row>
      <xdr:rowOff>107674</xdr:rowOff>
    </xdr:to>
    <xdr:sp macro="" textlink="">
      <xdr:nvSpPr>
        <xdr:cNvPr id="10" name="ZoneTexte 9">
          <a:extLst>
            <a:ext uri="{FF2B5EF4-FFF2-40B4-BE49-F238E27FC236}">
              <a16:creationId xmlns:a16="http://schemas.microsoft.com/office/drawing/2014/main" id="{3292D360-534F-494D-ABCC-294333C8B1D7}"/>
            </a:ext>
          </a:extLst>
        </xdr:cNvPr>
        <xdr:cNvSpPr txBox="1"/>
      </xdr:nvSpPr>
      <xdr:spPr>
        <a:xfrm>
          <a:off x="24849" y="5963478"/>
          <a:ext cx="2965173"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a:t>Permet d'actionner</a:t>
          </a:r>
          <a:r>
            <a:rPr lang="fr-FR" sz="800" baseline="0"/>
            <a:t> le volet par télécommande sans obligation de barre palpeuse. Ce dispositif respecte la norme "homme présent" par radio</a:t>
          </a:r>
          <a:endParaRPr lang="fr-FR" sz="800"/>
        </a:p>
      </xdr:txBody>
    </xdr:sp>
    <xdr:clientData/>
  </xdr:twoCellAnchor>
  <xdr:twoCellAnchor editAs="oneCell">
    <xdr:from>
      <xdr:col>0</xdr:col>
      <xdr:colOff>24849</xdr:colOff>
      <xdr:row>40</xdr:row>
      <xdr:rowOff>3312</xdr:rowOff>
    </xdr:from>
    <xdr:to>
      <xdr:col>4</xdr:col>
      <xdr:colOff>107674</xdr:colOff>
      <xdr:row>45</xdr:row>
      <xdr:rowOff>74544</xdr:rowOff>
    </xdr:to>
    <xdr:sp macro="" textlink="">
      <xdr:nvSpPr>
        <xdr:cNvPr id="41" name="ZoneTexte 40">
          <a:extLst>
            <a:ext uri="{FF2B5EF4-FFF2-40B4-BE49-F238E27FC236}">
              <a16:creationId xmlns:a16="http://schemas.microsoft.com/office/drawing/2014/main" id="{3AE3EFCC-C6AA-4265-ABA9-08A3A24CF48E}"/>
            </a:ext>
          </a:extLst>
        </xdr:cNvPr>
        <xdr:cNvSpPr txBox="1"/>
      </xdr:nvSpPr>
      <xdr:spPr>
        <a:xfrm>
          <a:off x="24849" y="6339508"/>
          <a:ext cx="1217542" cy="775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a:t>Inclus : </a:t>
          </a:r>
        </a:p>
        <a:p>
          <a:r>
            <a:rPr lang="fr-FR" sz="800"/>
            <a:t>- pare-chute </a:t>
          </a:r>
        </a:p>
        <a:p>
          <a:r>
            <a:rPr lang="fr-FR" sz="800"/>
            <a:t>- Armoire de commande avec prise câble 2m </a:t>
          </a:r>
        </a:p>
        <a:p>
          <a:r>
            <a:rPr lang="fr-FR" sz="800"/>
            <a:t>- 2 télécommandes BE2-HP</a:t>
          </a:r>
        </a:p>
      </xdr:txBody>
    </xdr:sp>
    <xdr:clientData/>
  </xdr:twoCellAnchor>
  <xdr:twoCellAnchor editAs="oneCell">
    <xdr:from>
      <xdr:col>12</xdr:col>
      <xdr:colOff>19879</xdr:colOff>
      <xdr:row>37</xdr:row>
      <xdr:rowOff>49695</xdr:rowOff>
    </xdr:from>
    <xdr:to>
      <xdr:col>23</xdr:col>
      <xdr:colOff>248479</xdr:colOff>
      <xdr:row>39</xdr:row>
      <xdr:rowOff>107674</xdr:rowOff>
    </xdr:to>
    <xdr:sp macro="" textlink="">
      <xdr:nvSpPr>
        <xdr:cNvPr id="42" name="ZoneTexte 41">
          <a:extLst>
            <a:ext uri="{FF2B5EF4-FFF2-40B4-BE49-F238E27FC236}">
              <a16:creationId xmlns:a16="http://schemas.microsoft.com/office/drawing/2014/main" id="{071D63B4-60A2-4BEB-83C7-87BD10D2066A}"/>
            </a:ext>
          </a:extLst>
        </xdr:cNvPr>
        <xdr:cNvSpPr txBox="1"/>
      </xdr:nvSpPr>
      <xdr:spPr>
        <a:xfrm>
          <a:off x="3274944" y="5963478"/>
          <a:ext cx="3144078" cy="339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rtl="0"/>
          <a:r>
            <a:rPr lang="fr-FR" sz="1100" b="0" i="0" u="none" strike="noStrike" baseline="30000">
              <a:solidFill>
                <a:schemeClr val="dk1"/>
              </a:solidFill>
              <a:latin typeface="+mn-lt"/>
              <a:ea typeface="+mn-ea"/>
              <a:cs typeface="+mn-cs"/>
            </a:rPr>
            <a:t>Armoire équipée de boutons de commande. Barre palpeuse filaire optique.</a:t>
          </a:r>
        </a:p>
      </xdr:txBody>
    </xdr:sp>
    <xdr:clientData/>
  </xdr:twoCellAnchor>
  <xdr:twoCellAnchor editAs="oneCell">
    <xdr:from>
      <xdr:col>12</xdr:col>
      <xdr:colOff>14909</xdr:colOff>
      <xdr:row>39</xdr:row>
      <xdr:rowOff>122582</xdr:rowOff>
    </xdr:from>
    <xdr:to>
      <xdr:col>17</xdr:col>
      <xdr:colOff>49696</xdr:colOff>
      <xdr:row>48</xdr:row>
      <xdr:rowOff>165652</xdr:rowOff>
    </xdr:to>
    <xdr:sp macro="" textlink="">
      <xdr:nvSpPr>
        <xdr:cNvPr id="43" name="ZoneTexte 42">
          <a:extLst>
            <a:ext uri="{FF2B5EF4-FFF2-40B4-BE49-F238E27FC236}">
              <a16:creationId xmlns:a16="http://schemas.microsoft.com/office/drawing/2014/main" id="{295E8DE6-D000-4FB6-AD14-5A9BE0A0FCD2}"/>
            </a:ext>
          </a:extLst>
        </xdr:cNvPr>
        <xdr:cNvSpPr txBox="1"/>
      </xdr:nvSpPr>
      <xdr:spPr>
        <a:xfrm>
          <a:off x="3269974" y="6243430"/>
          <a:ext cx="1360004" cy="13103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a:t>Inclus</a:t>
          </a:r>
          <a:r>
            <a:rPr lang="fr-FR" sz="800" baseline="0"/>
            <a:t> : </a:t>
          </a:r>
        </a:p>
        <a:p>
          <a:r>
            <a:rPr lang="fr-FR" sz="800" baseline="0"/>
            <a:t>- p</a:t>
          </a:r>
          <a:r>
            <a:rPr lang="fr-FR" sz="800"/>
            <a:t>are-chute </a:t>
          </a:r>
        </a:p>
        <a:p>
          <a:r>
            <a:rPr lang="fr-FR" sz="800"/>
            <a:t>- Armoire de commande avec prise câble 2m </a:t>
          </a:r>
        </a:p>
        <a:p>
          <a:r>
            <a:rPr lang="fr-FR" sz="800"/>
            <a:t>- Moteur filaire CSI MN </a:t>
          </a:r>
        </a:p>
        <a:p>
          <a:r>
            <a:rPr lang="fr-FR" sz="800"/>
            <a:t>- 2 télécommandes  </a:t>
          </a:r>
        </a:p>
        <a:p>
          <a:r>
            <a:rPr lang="fr-FR" sz="800"/>
            <a:t>- Barre palpeuse résistive,</a:t>
          </a:r>
          <a:r>
            <a:rPr lang="fr-FR" sz="800" baseline="0"/>
            <a:t> connexion par cordon spirale</a:t>
          </a:r>
          <a:endParaRPr lang="fr-FR" sz="800"/>
        </a:p>
      </xdr:txBody>
    </xdr:sp>
    <xdr:clientData/>
  </xdr:twoCellAnchor>
  <xdr:twoCellAnchor editAs="oneCell">
    <xdr:from>
      <xdr:col>0</xdr:col>
      <xdr:colOff>24849</xdr:colOff>
      <xdr:row>51</xdr:row>
      <xdr:rowOff>44723</xdr:rowOff>
    </xdr:from>
    <xdr:to>
      <xdr:col>10</xdr:col>
      <xdr:colOff>8282</xdr:colOff>
      <xdr:row>54</xdr:row>
      <xdr:rowOff>99388</xdr:rowOff>
    </xdr:to>
    <xdr:sp macro="" textlink="">
      <xdr:nvSpPr>
        <xdr:cNvPr id="46" name="ZoneTexte 45">
          <a:extLst>
            <a:ext uri="{FF2B5EF4-FFF2-40B4-BE49-F238E27FC236}">
              <a16:creationId xmlns:a16="http://schemas.microsoft.com/office/drawing/2014/main" id="{E4BD5E8A-0C86-4243-963D-AF268C6E0B04}"/>
            </a:ext>
          </a:extLst>
        </xdr:cNvPr>
        <xdr:cNvSpPr txBox="1"/>
      </xdr:nvSpPr>
      <xdr:spPr>
        <a:xfrm>
          <a:off x="24849" y="7987745"/>
          <a:ext cx="2782955" cy="4770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a:t>Simplicité et fiabilité reconnue. Utilisé depuis longtemps par les professionnels.</a:t>
          </a:r>
          <a:r>
            <a:rPr lang="fr-FR" sz="800" baseline="0"/>
            <a:t> </a:t>
          </a:r>
          <a:r>
            <a:rPr lang="fr-FR" sz="800"/>
            <a:t>Boîtier avec écran digital pour programmation</a:t>
          </a:r>
          <a:r>
            <a:rPr lang="fr-FR" sz="800" baseline="0"/>
            <a:t> avec retour code d'erreur.</a:t>
          </a:r>
          <a:endParaRPr lang="fr-FR" sz="800"/>
        </a:p>
      </xdr:txBody>
    </xdr:sp>
    <xdr:clientData/>
  </xdr:twoCellAnchor>
  <xdr:twoCellAnchor editAs="oneCell">
    <xdr:from>
      <xdr:col>0</xdr:col>
      <xdr:colOff>24849</xdr:colOff>
      <xdr:row>54</xdr:row>
      <xdr:rowOff>115954</xdr:rowOff>
    </xdr:from>
    <xdr:to>
      <xdr:col>4</xdr:col>
      <xdr:colOff>84484</xdr:colOff>
      <xdr:row>63</xdr:row>
      <xdr:rowOff>119268</xdr:rowOff>
    </xdr:to>
    <xdr:sp macro="" textlink="">
      <xdr:nvSpPr>
        <xdr:cNvPr id="47" name="ZoneTexte 46">
          <a:extLst>
            <a:ext uri="{FF2B5EF4-FFF2-40B4-BE49-F238E27FC236}">
              <a16:creationId xmlns:a16="http://schemas.microsoft.com/office/drawing/2014/main" id="{40C7171E-305B-46E4-922A-D8E47D71EA14}"/>
            </a:ext>
          </a:extLst>
        </xdr:cNvPr>
        <xdr:cNvSpPr txBox="1"/>
      </xdr:nvSpPr>
      <xdr:spPr>
        <a:xfrm>
          <a:off x="24849" y="8547650"/>
          <a:ext cx="1194352" cy="1237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a:t>Inclus</a:t>
          </a:r>
          <a:r>
            <a:rPr lang="fr-FR" sz="800" baseline="0"/>
            <a:t> : </a:t>
          </a:r>
        </a:p>
        <a:p>
          <a:r>
            <a:rPr lang="fr-FR" sz="800" baseline="0"/>
            <a:t>- p</a:t>
          </a:r>
          <a:r>
            <a:rPr lang="fr-FR" sz="800"/>
            <a:t>are-chute </a:t>
          </a:r>
        </a:p>
        <a:p>
          <a:r>
            <a:rPr lang="fr-FR" sz="800"/>
            <a:t>- Armoire de commande avec prise câble 2m </a:t>
          </a:r>
        </a:p>
        <a:p>
          <a:r>
            <a:rPr lang="fr-FR" sz="800"/>
            <a:t>- 2 télécommandes Keytis 2 </a:t>
          </a:r>
        </a:p>
        <a:p>
          <a:r>
            <a:rPr lang="fr-FR" sz="800"/>
            <a:t>- Barre palpeuse optique,</a:t>
          </a:r>
          <a:r>
            <a:rPr lang="fr-FR" sz="800" baseline="0"/>
            <a:t> connexion par cordon spirale</a:t>
          </a:r>
          <a:endParaRPr lang="fr-FR" sz="800"/>
        </a:p>
      </xdr:txBody>
    </xdr:sp>
    <xdr:clientData/>
  </xdr:twoCellAnchor>
  <xdr:twoCellAnchor editAs="oneCell">
    <xdr:from>
      <xdr:col>12</xdr:col>
      <xdr:colOff>19879</xdr:colOff>
      <xdr:row>51</xdr:row>
      <xdr:rowOff>44723</xdr:rowOff>
    </xdr:from>
    <xdr:to>
      <xdr:col>23</xdr:col>
      <xdr:colOff>99392</xdr:colOff>
      <xdr:row>55</xdr:row>
      <xdr:rowOff>82823</xdr:rowOff>
    </xdr:to>
    <xdr:sp macro="" textlink="">
      <xdr:nvSpPr>
        <xdr:cNvPr id="48" name="ZoneTexte 47">
          <a:extLst>
            <a:ext uri="{FF2B5EF4-FFF2-40B4-BE49-F238E27FC236}">
              <a16:creationId xmlns:a16="http://schemas.microsoft.com/office/drawing/2014/main" id="{BCEDEFAE-FC8E-46F6-AECD-952E3A9C692D}"/>
            </a:ext>
          </a:extLst>
        </xdr:cNvPr>
        <xdr:cNvSpPr txBox="1"/>
      </xdr:nvSpPr>
      <xdr:spPr>
        <a:xfrm>
          <a:off x="3274944" y="7987745"/>
          <a:ext cx="2994991" cy="601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b="0" i="0" u="none" strike="noStrike" baseline="0">
              <a:solidFill>
                <a:schemeClr val="dk1"/>
              </a:solidFill>
              <a:latin typeface="+mn-lt"/>
              <a:ea typeface="+mn-ea"/>
              <a:cs typeface="+mn-cs"/>
            </a:rPr>
            <a:t>Solution simple et complète. Compatible* TaHoma et Connexoon pour profiter d’une porte de garage connectée pilotable par smartphone, tablette... Armoire de commande équipée d'un bouton de commande et d'un éclairage de courtoisie. Affichage diagnostics en façade.</a:t>
          </a:r>
          <a:endParaRPr lang="fr-FR" sz="800"/>
        </a:p>
      </xdr:txBody>
    </xdr:sp>
    <xdr:clientData/>
  </xdr:twoCellAnchor>
  <xdr:twoCellAnchor editAs="oneCell">
    <xdr:from>
      <xdr:col>12</xdr:col>
      <xdr:colOff>9940</xdr:colOff>
      <xdr:row>55</xdr:row>
      <xdr:rowOff>59634</xdr:rowOff>
    </xdr:from>
    <xdr:to>
      <xdr:col>17</xdr:col>
      <xdr:colOff>231915</xdr:colOff>
      <xdr:row>66</xdr:row>
      <xdr:rowOff>66262</xdr:rowOff>
    </xdr:to>
    <xdr:sp macro="" textlink="">
      <xdr:nvSpPr>
        <xdr:cNvPr id="49" name="ZoneTexte 48">
          <a:extLst>
            <a:ext uri="{FF2B5EF4-FFF2-40B4-BE49-F238E27FC236}">
              <a16:creationId xmlns:a16="http://schemas.microsoft.com/office/drawing/2014/main" id="{0F9F1CA2-6564-4663-9890-A223701C76F9}"/>
            </a:ext>
          </a:extLst>
        </xdr:cNvPr>
        <xdr:cNvSpPr txBox="1"/>
      </xdr:nvSpPr>
      <xdr:spPr>
        <a:xfrm>
          <a:off x="3265005" y="8565873"/>
          <a:ext cx="1547192" cy="1497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800"/>
            <a:t>Inclus</a:t>
          </a:r>
          <a:r>
            <a:rPr lang="fr-FR" sz="800" baseline="0"/>
            <a:t> : </a:t>
          </a:r>
        </a:p>
        <a:p>
          <a:r>
            <a:rPr lang="fr-FR" sz="800" baseline="0"/>
            <a:t>- p</a:t>
          </a:r>
          <a:r>
            <a:rPr lang="fr-FR" sz="800"/>
            <a:t>are-chute </a:t>
          </a:r>
        </a:p>
        <a:p>
          <a:r>
            <a:rPr lang="fr-FR" sz="800"/>
            <a:t>- Armoire de commande avec prise câble 2m </a:t>
          </a:r>
        </a:p>
        <a:p>
          <a:r>
            <a:rPr lang="fr-FR" sz="800"/>
            <a:t>- 2 télécommandes Keygo io</a:t>
          </a:r>
        </a:p>
        <a:p>
          <a:r>
            <a:rPr lang="fr-FR" sz="800"/>
            <a:t>- Buzzer</a:t>
          </a:r>
          <a:r>
            <a:rPr lang="fr-FR" sz="800" baseline="0"/>
            <a:t> d'alerte en cas de tentative de soulèvement</a:t>
          </a:r>
          <a:r>
            <a:rPr lang="fr-FR" sz="800"/>
            <a:t> </a:t>
          </a:r>
        </a:p>
        <a:p>
          <a:r>
            <a:rPr lang="fr-FR" sz="800"/>
            <a:t>- Barre palpeuse résistive, connexion radio.</a:t>
          </a:r>
          <a:r>
            <a:rPr lang="fr-FR" sz="800" baseline="0"/>
            <a:t> Avec aimant bas à installer pour éviter les détections d'obstables intempestives si le sol est irrégulier</a:t>
          </a:r>
          <a:endParaRPr lang="fr-FR" sz="800"/>
        </a:p>
      </xdr:txBody>
    </xdr:sp>
    <xdr:clientData/>
  </xdr:twoCellAnchor>
  <xdr:twoCellAnchor editAs="oneCell">
    <xdr:from>
      <xdr:col>19</xdr:col>
      <xdr:colOff>33130</xdr:colOff>
      <xdr:row>66</xdr:row>
      <xdr:rowOff>19877</xdr:rowOff>
    </xdr:from>
    <xdr:to>
      <xdr:col>23</xdr:col>
      <xdr:colOff>207064</xdr:colOff>
      <xdr:row>68</xdr:row>
      <xdr:rowOff>33130</xdr:rowOff>
    </xdr:to>
    <xdr:sp macro="" textlink="">
      <xdr:nvSpPr>
        <xdr:cNvPr id="50" name="ZoneTexte 49">
          <a:extLst>
            <a:ext uri="{FF2B5EF4-FFF2-40B4-BE49-F238E27FC236}">
              <a16:creationId xmlns:a16="http://schemas.microsoft.com/office/drawing/2014/main" id="{4177E648-66AE-4059-B40B-C89AB4A326A3}"/>
            </a:ext>
          </a:extLst>
        </xdr:cNvPr>
        <xdr:cNvSpPr txBox="1"/>
      </xdr:nvSpPr>
      <xdr:spPr>
        <a:xfrm>
          <a:off x="5143500" y="10016986"/>
          <a:ext cx="1234108" cy="327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fr-FR" sz="700" i="1"/>
            <a:t>*IO</a:t>
          </a:r>
          <a:r>
            <a:rPr lang="fr-FR" sz="700" i="1" baseline="0"/>
            <a:t> compatible avec mise en place de cellules photoélectriques</a:t>
          </a:r>
          <a:endParaRPr lang="fr-FR" sz="700" i="1"/>
        </a:p>
      </xdr:txBody>
    </xdr:sp>
    <xdr:clientData/>
  </xdr:twoCellAnchor>
  <xdr:twoCellAnchor editAs="oneCell">
    <xdr:from>
      <xdr:col>4</xdr:col>
      <xdr:colOff>56409</xdr:colOff>
      <xdr:row>54</xdr:row>
      <xdr:rowOff>24848</xdr:rowOff>
    </xdr:from>
    <xdr:to>
      <xdr:col>6</xdr:col>
      <xdr:colOff>168965</xdr:colOff>
      <xdr:row>58</xdr:row>
      <xdr:rowOff>123079</xdr:rowOff>
    </xdr:to>
    <xdr:pic>
      <xdr:nvPicPr>
        <xdr:cNvPr id="11" name="Image 10">
          <a:extLst>
            <a:ext uri="{FF2B5EF4-FFF2-40B4-BE49-F238E27FC236}">
              <a16:creationId xmlns:a16="http://schemas.microsoft.com/office/drawing/2014/main" id="{95B65FD8-32C4-4127-A410-E00621657FE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191126" y="8390283"/>
          <a:ext cx="642643" cy="661448"/>
        </a:xfrm>
        <a:prstGeom prst="rect">
          <a:avLst/>
        </a:prstGeom>
      </xdr:spPr>
    </xdr:pic>
    <xdr:clientData/>
  </xdr:twoCellAnchor>
  <xdr:twoCellAnchor editAs="oneCell">
    <xdr:from>
      <xdr:col>22</xdr:col>
      <xdr:colOff>58064</xdr:colOff>
      <xdr:row>38</xdr:row>
      <xdr:rowOff>140804</xdr:rowOff>
    </xdr:from>
    <xdr:to>
      <xdr:col>23</xdr:col>
      <xdr:colOff>157303</xdr:colOff>
      <xdr:row>43</xdr:row>
      <xdr:rowOff>48834</xdr:rowOff>
    </xdr:to>
    <xdr:pic>
      <xdr:nvPicPr>
        <xdr:cNvPr id="32" name="Image 31">
          <a:extLst>
            <a:ext uri="{FF2B5EF4-FFF2-40B4-BE49-F238E27FC236}">
              <a16:creationId xmlns:a16="http://schemas.microsoft.com/office/drawing/2014/main" id="{CB6D89E9-3C7C-43E6-BFE7-BD4FB52E2E6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963564" y="6170543"/>
          <a:ext cx="364283" cy="612052"/>
        </a:xfrm>
        <a:prstGeom prst="rect">
          <a:avLst/>
        </a:prstGeom>
      </xdr:spPr>
    </xdr:pic>
    <xdr:clientData/>
  </xdr:twoCellAnchor>
  <xdr:twoCellAnchor editAs="oneCell">
    <xdr:from>
      <xdr:col>20</xdr:col>
      <xdr:colOff>124239</xdr:colOff>
      <xdr:row>39</xdr:row>
      <xdr:rowOff>16566</xdr:rowOff>
    </xdr:from>
    <xdr:to>
      <xdr:col>21</xdr:col>
      <xdr:colOff>223479</xdr:colOff>
      <xdr:row>43</xdr:row>
      <xdr:rowOff>65400</xdr:rowOff>
    </xdr:to>
    <xdr:pic>
      <xdr:nvPicPr>
        <xdr:cNvPr id="51" name="Image 50">
          <a:extLst>
            <a:ext uri="{FF2B5EF4-FFF2-40B4-BE49-F238E27FC236}">
              <a16:creationId xmlns:a16="http://schemas.microsoft.com/office/drawing/2014/main" id="{2F4711D9-8F07-4D7C-9F79-A4B9D3497FB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499652" y="6187109"/>
          <a:ext cx="364283" cy="612052"/>
        </a:xfrm>
        <a:prstGeom prst="rect">
          <a:avLst/>
        </a:prstGeom>
      </xdr:spPr>
    </xdr:pic>
    <xdr:clientData/>
  </xdr:twoCellAnchor>
  <xdr:twoCellAnchor editAs="oneCell">
    <xdr:from>
      <xdr:col>17</xdr:col>
      <xdr:colOff>16565</xdr:colOff>
      <xdr:row>38</xdr:row>
      <xdr:rowOff>74544</xdr:rowOff>
    </xdr:from>
    <xdr:to>
      <xdr:col>19</xdr:col>
      <xdr:colOff>215347</xdr:colOff>
      <xdr:row>47</xdr:row>
      <xdr:rowOff>127952</xdr:rowOff>
    </xdr:to>
    <xdr:pic>
      <xdr:nvPicPr>
        <xdr:cNvPr id="12" name="Image 11">
          <a:extLst>
            <a:ext uri="{FF2B5EF4-FFF2-40B4-BE49-F238E27FC236}">
              <a16:creationId xmlns:a16="http://schemas.microsoft.com/office/drawing/2014/main" id="{DFB1C5AA-3F0E-44EE-B55B-B7C4B6ED19B1}"/>
            </a:ext>
          </a:extLst>
        </xdr:cNvPr>
        <xdr:cNvPicPr>
          <a:picLocks noChangeAspect="1" noChangeArrowheads="1"/>
        </xdr:cNvPicPr>
      </xdr:nvPicPr>
      <xdr:blipFill rotWithShape="1">
        <a:blip xmlns:r="http://schemas.openxmlformats.org/officeDocument/2006/relationships" r:embed="rId19" cstate="print">
          <a:extLst>
            <a:ext uri="{28A0092B-C50C-407E-A947-70E740481C1C}">
              <a14:useLocalDpi xmlns:a14="http://schemas.microsoft.com/office/drawing/2010/main" val="0"/>
            </a:ext>
          </a:extLst>
        </a:blip>
        <a:srcRect l="15708" t="14206" r="17746"/>
        <a:stretch>
          <a:fillRect/>
        </a:stretch>
      </xdr:blipFill>
      <xdr:spPr bwMode="auto">
        <a:xfrm>
          <a:off x="4596848" y="6104283"/>
          <a:ext cx="728869" cy="1320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55</xdr:row>
      <xdr:rowOff>140804</xdr:rowOff>
    </xdr:from>
    <xdr:to>
      <xdr:col>21</xdr:col>
      <xdr:colOff>66926</xdr:colOff>
      <xdr:row>64</xdr:row>
      <xdr:rowOff>8282</xdr:rowOff>
    </xdr:to>
    <xdr:pic>
      <xdr:nvPicPr>
        <xdr:cNvPr id="19" name="Image 18">
          <a:extLst>
            <a:ext uri="{FF2B5EF4-FFF2-40B4-BE49-F238E27FC236}">
              <a16:creationId xmlns:a16="http://schemas.microsoft.com/office/drawing/2014/main" id="{9BCFD9B9-F292-4185-A74D-7D144B43EDFE}"/>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845326" y="8647043"/>
          <a:ext cx="862056" cy="1093304"/>
        </a:xfrm>
        <a:prstGeom prst="rect">
          <a:avLst/>
        </a:prstGeom>
        <a:noFill/>
        <a:effectLst>
          <a:softEdge rad="12700"/>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22</xdr:col>
      <xdr:colOff>0</xdr:colOff>
      <xdr:row>10</xdr:row>
      <xdr:rowOff>74544</xdr:rowOff>
    </xdr:from>
    <xdr:ext cx="466725" cy="466726"/>
    <xdr:sp macro="" textlink="">
      <xdr:nvSpPr>
        <xdr:cNvPr id="12" name="Ellipse 11">
          <a:extLst>
            <a:ext uri="{FF2B5EF4-FFF2-40B4-BE49-F238E27FC236}">
              <a16:creationId xmlns:a16="http://schemas.microsoft.com/office/drawing/2014/main" id="{CCB434DF-F6D4-4115-96BA-4C352E26755C}"/>
            </a:ext>
          </a:extLst>
        </xdr:cNvPr>
        <xdr:cNvSpPr>
          <a:spLocks noChangeAspect="1"/>
        </xdr:cNvSpPr>
      </xdr:nvSpPr>
      <xdr:spPr>
        <a:xfrm>
          <a:off x="5905500" y="1789044"/>
          <a:ext cx="466725" cy="466726"/>
        </a:xfrm>
        <a:prstGeom prst="ellipse">
          <a:avLst/>
        </a:prstGeom>
        <a:blipFill dpi="0" rotWithShape="1">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fr-FR"/>
          </a:defPPr>
          <a:lvl1pPr marL="0" algn="l" defTabSz="1059170" rtl="0" eaLnBrk="1" latinLnBrk="0" hangingPunct="1">
            <a:defRPr sz="2083" kern="1200">
              <a:solidFill>
                <a:schemeClr val="lt1"/>
              </a:solidFill>
              <a:latin typeface="+mn-lt"/>
              <a:ea typeface="+mn-ea"/>
              <a:cs typeface="+mn-cs"/>
            </a:defRPr>
          </a:lvl1pPr>
          <a:lvl2pPr marL="529585" algn="l" defTabSz="1059170" rtl="0" eaLnBrk="1" latinLnBrk="0" hangingPunct="1">
            <a:defRPr sz="2083" kern="1200">
              <a:solidFill>
                <a:schemeClr val="lt1"/>
              </a:solidFill>
              <a:latin typeface="+mn-lt"/>
              <a:ea typeface="+mn-ea"/>
              <a:cs typeface="+mn-cs"/>
            </a:defRPr>
          </a:lvl2pPr>
          <a:lvl3pPr marL="1059170" algn="l" defTabSz="1059170" rtl="0" eaLnBrk="1" latinLnBrk="0" hangingPunct="1">
            <a:defRPr sz="2083" kern="1200">
              <a:solidFill>
                <a:schemeClr val="lt1"/>
              </a:solidFill>
              <a:latin typeface="+mn-lt"/>
              <a:ea typeface="+mn-ea"/>
              <a:cs typeface="+mn-cs"/>
            </a:defRPr>
          </a:lvl3pPr>
          <a:lvl4pPr marL="1588755" algn="l" defTabSz="1059170" rtl="0" eaLnBrk="1" latinLnBrk="0" hangingPunct="1">
            <a:defRPr sz="2083" kern="1200">
              <a:solidFill>
                <a:schemeClr val="lt1"/>
              </a:solidFill>
              <a:latin typeface="+mn-lt"/>
              <a:ea typeface="+mn-ea"/>
              <a:cs typeface="+mn-cs"/>
            </a:defRPr>
          </a:lvl4pPr>
          <a:lvl5pPr marL="2118339" algn="l" defTabSz="1059170" rtl="0" eaLnBrk="1" latinLnBrk="0" hangingPunct="1">
            <a:defRPr sz="2083" kern="1200">
              <a:solidFill>
                <a:schemeClr val="lt1"/>
              </a:solidFill>
              <a:latin typeface="+mn-lt"/>
              <a:ea typeface="+mn-ea"/>
              <a:cs typeface="+mn-cs"/>
            </a:defRPr>
          </a:lvl5pPr>
          <a:lvl6pPr marL="2647924" algn="l" defTabSz="1059170" rtl="0" eaLnBrk="1" latinLnBrk="0" hangingPunct="1">
            <a:defRPr sz="2083" kern="1200">
              <a:solidFill>
                <a:schemeClr val="lt1"/>
              </a:solidFill>
              <a:latin typeface="+mn-lt"/>
              <a:ea typeface="+mn-ea"/>
              <a:cs typeface="+mn-cs"/>
            </a:defRPr>
          </a:lvl6pPr>
          <a:lvl7pPr marL="3177509" algn="l" defTabSz="1059170" rtl="0" eaLnBrk="1" latinLnBrk="0" hangingPunct="1">
            <a:defRPr sz="2083" kern="1200">
              <a:solidFill>
                <a:schemeClr val="lt1"/>
              </a:solidFill>
              <a:latin typeface="+mn-lt"/>
              <a:ea typeface="+mn-ea"/>
              <a:cs typeface="+mn-cs"/>
            </a:defRPr>
          </a:lvl7pPr>
          <a:lvl8pPr marL="3707094" algn="l" defTabSz="1059170" rtl="0" eaLnBrk="1" latinLnBrk="0" hangingPunct="1">
            <a:defRPr sz="2083" kern="1200">
              <a:solidFill>
                <a:schemeClr val="lt1"/>
              </a:solidFill>
              <a:latin typeface="+mn-lt"/>
              <a:ea typeface="+mn-ea"/>
              <a:cs typeface="+mn-cs"/>
            </a:defRPr>
          </a:lvl8pPr>
          <a:lvl9pPr marL="4236679" algn="l" defTabSz="1059170" rtl="0" eaLnBrk="1" latinLnBrk="0" hangingPunct="1">
            <a:defRPr sz="2083" kern="1200">
              <a:solidFill>
                <a:schemeClr val="lt1"/>
              </a:solidFill>
              <a:latin typeface="+mn-lt"/>
              <a:ea typeface="+mn-ea"/>
              <a:cs typeface="+mn-cs"/>
            </a:defRPr>
          </a:lvl9pPr>
        </a:lstStyle>
        <a:p>
          <a:pPr algn="ctr"/>
          <a:endParaRPr lang="fr-FR"/>
        </a:p>
      </xdr:txBody>
    </xdr:sp>
    <xdr:clientData/>
  </xdr:oneCellAnchor>
  <xdr:twoCellAnchor>
    <xdr:from>
      <xdr:col>1</xdr:col>
      <xdr:colOff>77855</xdr:colOff>
      <xdr:row>1</xdr:row>
      <xdr:rowOff>1</xdr:rowOff>
    </xdr:from>
    <xdr:to>
      <xdr:col>24</xdr:col>
      <xdr:colOff>505238</xdr:colOff>
      <xdr:row>4</xdr:row>
      <xdr:rowOff>41414</xdr:rowOff>
    </xdr:to>
    <xdr:sp macro="" textlink="">
      <xdr:nvSpPr>
        <xdr:cNvPr id="33" name="ZoneTexte 32">
          <a:extLst>
            <a:ext uri="{FF2B5EF4-FFF2-40B4-BE49-F238E27FC236}">
              <a16:creationId xmlns:a16="http://schemas.microsoft.com/office/drawing/2014/main" id="{31F12B36-633D-4A01-9116-0A31EA130066}"/>
            </a:ext>
          </a:extLst>
        </xdr:cNvPr>
        <xdr:cNvSpPr txBox="1"/>
      </xdr:nvSpPr>
      <xdr:spPr>
        <a:xfrm>
          <a:off x="417442" y="248479"/>
          <a:ext cx="6523383" cy="513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fr-FR" sz="2800" b="1" baseline="0">
              <a:solidFill>
                <a:schemeClr val="accent1">
                  <a:lumMod val="50000"/>
                </a:schemeClr>
              </a:solidFill>
              <a:effectLst/>
              <a:latin typeface="+mn-lt"/>
              <a:ea typeface="+mn-ea"/>
              <a:cs typeface="+mn-cs"/>
            </a:rPr>
            <a:t>Prix du volet rénovation à cde de secours</a:t>
          </a:r>
          <a:endParaRPr lang="fr-FR" sz="2800" b="1">
            <a:solidFill>
              <a:schemeClr val="accent1">
                <a:lumMod val="50000"/>
              </a:schemeClr>
            </a:solidFill>
          </a:endParaRPr>
        </a:p>
      </xdr:txBody>
    </xdr:sp>
    <xdr:clientData/>
  </xdr:twoCellAnchor>
  <xdr:twoCellAnchor>
    <xdr:from>
      <xdr:col>1</xdr:col>
      <xdr:colOff>49695</xdr:colOff>
      <xdr:row>5</xdr:row>
      <xdr:rowOff>53008</xdr:rowOff>
    </xdr:from>
    <xdr:to>
      <xdr:col>8</xdr:col>
      <xdr:colOff>207065</xdr:colOff>
      <xdr:row>8</xdr:row>
      <xdr:rowOff>185530</xdr:rowOff>
    </xdr:to>
    <xdr:sp macro="" textlink="">
      <xdr:nvSpPr>
        <xdr:cNvPr id="34" name="ZoneTexte 33">
          <a:extLst>
            <a:ext uri="{FF2B5EF4-FFF2-40B4-BE49-F238E27FC236}">
              <a16:creationId xmlns:a16="http://schemas.microsoft.com/office/drawing/2014/main" id="{9670ED16-943B-4E9B-A694-F6F2FF6F3011}"/>
            </a:ext>
          </a:extLst>
        </xdr:cNvPr>
        <xdr:cNvSpPr txBox="1"/>
      </xdr:nvSpPr>
      <xdr:spPr>
        <a:xfrm>
          <a:off x="389282" y="939247"/>
          <a:ext cx="2012674" cy="629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fr-FR" sz="2800" b="1" baseline="0">
              <a:solidFill>
                <a:schemeClr val="accent1">
                  <a:lumMod val="50000"/>
                </a:schemeClr>
              </a:solidFill>
              <a:effectLst/>
              <a:latin typeface="+mn-lt"/>
              <a:ea typeface="+mn-ea"/>
              <a:cs typeface="+mn-cs"/>
            </a:rPr>
            <a:t>Prix du Pack</a:t>
          </a:r>
          <a:endParaRPr lang="fr-FR" sz="2800" b="1">
            <a:solidFill>
              <a:schemeClr val="accent1">
                <a:lumMod val="50000"/>
              </a:schemeClr>
            </a:solidFill>
          </a:endParaRPr>
        </a:p>
      </xdr:txBody>
    </xdr:sp>
    <xdr:clientData/>
  </xdr:twoCellAnchor>
  <xdr:twoCellAnchor>
    <xdr:from>
      <xdr:col>0</xdr:col>
      <xdr:colOff>24846</xdr:colOff>
      <xdr:row>1</xdr:row>
      <xdr:rowOff>117613</xdr:rowOff>
    </xdr:from>
    <xdr:to>
      <xdr:col>1</xdr:col>
      <xdr:colOff>223628</xdr:colOff>
      <xdr:row>6</xdr:row>
      <xdr:rowOff>132521</xdr:rowOff>
    </xdr:to>
    <xdr:sp macro="" textlink="">
      <xdr:nvSpPr>
        <xdr:cNvPr id="35" name="ZoneTexte 34">
          <a:extLst>
            <a:ext uri="{FF2B5EF4-FFF2-40B4-BE49-F238E27FC236}">
              <a16:creationId xmlns:a16="http://schemas.microsoft.com/office/drawing/2014/main" id="{38D4EE9D-B894-40F1-8AFA-D710C466F81F}"/>
            </a:ext>
          </a:extLst>
        </xdr:cNvPr>
        <xdr:cNvSpPr txBox="1"/>
      </xdr:nvSpPr>
      <xdr:spPr>
        <a:xfrm>
          <a:off x="6501846" y="365263"/>
          <a:ext cx="541682" cy="805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fr-FR" sz="5400" baseline="0">
              <a:solidFill>
                <a:schemeClr val="accent1">
                  <a:lumMod val="50000"/>
                </a:schemeClr>
              </a:solidFill>
              <a:effectLst/>
              <a:latin typeface="+mn-lt"/>
              <a:ea typeface="+mn-ea"/>
              <a:cs typeface="+mn-cs"/>
            </a:rPr>
            <a:t>+</a:t>
          </a:r>
          <a:endParaRPr lang="fr-FR" sz="5400">
            <a:solidFill>
              <a:schemeClr val="accent1">
                <a:lumMod val="50000"/>
              </a:schemeClr>
            </a:solidFill>
          </a:endParaRPr>
        </a:p>
      </xdr:txBody>
    </xdr:sp>
    <xdr:clientData/>
  </xdr:twoCellAnchor>
  <xdr:twoCellAnchor>
    <xdr:from>
      <xdr:col>10</xdr:col>
      <xdr:colOff>19882</xdr:colOff>
      <xdr:row>5</xdr:row>
      <xdr:rowOff>135833</xdr:rowOff>
    </xdr:from>
    <xdr:to>
      <xdr:col>20</xdr:col>
      <xdr:colOff>215348</xdr:colOff>
      <xdr:row>8</xdr:row>
      <xdr:rowOff>47209</xdr:rowOff>
    </xdr:to>
    <xdr:sp macro="" textlink="">
      <xdr:nvSpPr>
        <xdr:cNvPr id="36" name="ZoneTexte 35">
          <a:extLst>
            <a:ext uri="{FF2B5EF4-FFF2-40B4-BE49-F238E27FC236}">
              <a16:creationId xmlns:a16="http://schemas.microsoft.com/office/drawing/2014/main" id="{61F6A34E-7A09-46C9-8F33-1368BDED6353}"/>
            </a:ext>
          </a:extLst>
        </xdr:cNvPr>
        <xdr:cNvSpPr txBox="1"/>
      </xdr:nvSpPr>
      <xdr:spPr>
        <a:xfrm>
          <a:off x="2744860" y="1022072"/>
          <a:ext cx="2845901" cy="408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r>
            <a:rPr lang="fr-FR" sz="800" b="1">
              <a:solidFill>
                <a:schemeClr val="accent1">
                  <a:lumMod val="50000"/>
                </a:schemeClr>
              </a:solidFill>
            </a:rPr>
            <a:t>Dans le cas où vous</a:t>
          </a:r>
          <a:r>
            <a:rPr lang="fr-FR" sz="800" b="1" baseline="0">
              <a:solidFill>
                <a:schemeClr val="accent1">
                  <a:lumMod val="50000"/>
                </a:schemeClr>
              </a:solidFill>
            </a:rPr>
            <a:t> ne souhaitez pas une porte de garage, vous pouvez commander un volet roulant rénovation sans pack. </a:t>
          </a:r>
          <a:endParaRPr lang="fr-FR" sz="800" b="1">
            <a:solidFill>
              <a:schemeClr val="accent1">
                <a:lumMod val="50000"/>
              </a:schemeClr>
            </a:solidFill>
          </a:endParaRPr>
        </a:p>
      </xdr:txBody>
    </xdr:sp>
    <xdr:clientData/>
  </xdr:twoCellAnchor>
  <xdr:twoCellAnchor editAs="oneCell">
    <xdr:from>
      <xdr:col>0</xdr:col>
      <xdr:colOff>1663</xdr:colOff>
      <xdr:row>5</xdr:row>
      <xdr:rowOff>87795</xdr:rowOff>
    </xdr:from>
    <xdr:to>
      <xdr:col>1</xdr:col>
      <xdr:colOff>76206</xdr:colOff>
      <xdr:row>8</xdr:row>
      <xdr:rowOff>46381</xdr:rowOff>
    </xdr:to>
    <xdr:pic>
      <xdr:nvPicPr>
        <xdr:cNvPr id="29" name="Graphique 28">
          <a:extLst>
            <a:ext uri="{FF2B5EF4-FFF2-40B4-BE49-F238E27FC236}">
              <a16:creationId xmlns:a16="http://schemas.microsoft.com/office/drawing/2014/main" id="{E68E3BEC-826E-4720-BCAC-BACE57F2DD5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48345" t="17391" r="11767" b="18840"/>
        <a:stretch/>
      </xdr:blipFill>
      <xdr:spPr>
        <a:xfrm>
          <a:off x="1663" y="974034"/>
          <a:ext cx="414130" cy="455543"/>
        </a:xfrm>
        <a:prstGeom prst="rect">
          <a:avLst/>
        </a:prstGeom>
      </xdr:spPr>
    </xdr:pic>
    <xdr:clientData/>
  </xdr:twoCellAnchor>
  <xdr:twoCellAnchor editAs="oneCell">
    <xdr:from>
      <xdr:col>20</xdr:col>
      <xdr:colOff>57980</xdr:colOff>
      <xdr:row>11</xdr:row>
      <xdr:rowOff>99392</xdr:rowOff>
    </xdr:from>
    <xdr:to>
      <xdr:col>21</xdr:col>
      <xdr:colOff>223633</xdr:colOff>
      <xdr:row>14</xdr:row>
      <xdr:rowOff>41413</xdr:rowOff>
    </xdr:to>
    <xdr:pic>
      <xdr:nvPicPr>
        <xdr:cNvPr id="30" name="Graphique 29">
          <a:extLst>
            <a:ext uri="{FF2B5EF4-FFF2-40B4-BE49-F238E27FC236}">
              <a16:creationId xmlns:a16="http://schemas.microsoft.com/office/drawing/2014/main" id="{FE82901B-1989-41A4-8172-B78676C1F0A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7180" t="17391" r="51336" b="18840"/>
        <a:stretch/>
      </xdr:blipFill>
      <xdr:spPr>
        <a:xfrm>
          <a:off x="5433393" y="2078935"/>
          <a:ext cx="430697" cy="455543"/>
        </a:xfrm>
        <a:prstGeom prst="rect">
          <a:avLst/>
        </a:prstGeom>
      </xdr:spPr>
    </xdr:pic>
    <xdr:clientData/>
  </xdr:twoCellAnchor>
  <xdr:twoCellAnchor editAs="oneCell">
    <xdr:from>
      <xdr:col>0</xdr:col>
      <xdr:colOff>0</xdr:colOff>
      <xdr:row>0</xdr:row>
      <xdr:rowOff>243509</xdr:rowOff>
    </xdr:from>
    <xdr:to>
      <xdr:col>1</xdr:col>
      <xdr:colOff>91110</xdr:colOff>
      <xdr:row>3</xdr:row>
      <xdr:rowOff>144117</xdr:rowOff>
    </xdr:to>
    <xdr:pic>
      <xdr:nvPicPr>
        <xdr:cNvPr id="31" name="Graphique 30">
          <a:extLst>
            <a:ext uri="{FF2B5EF4-FFF2-40B4-BE49-F238E27FC236}">
              <a16:creationId xmlns:a16="http://schemas.microsoft.com/office/drawing/2014/main" id="{F67CC92F-ECB3-4C51-8A48-B769B1169EA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7180" t="17391" r="51336" b="18840"/>
        <a:stretch/>
      </xdr:blipFill>
      <xdr:spPr>
        <a:xfrm>
          <a:off x="0" y="243509"/>
          <a:ext cx="430697" cy="455543"/>
        </a:xfrm>
        <a:prstGeom prst="rect">
          <a:avLst/>
        </a:prstGeom>
      </xdr:spPr>
    </xdr:pic>
    <xdr:clientData/>
  </xdr:twoCellAnchor>
  <xdr:twoCellAnchor editAs="oneCell">
    <xdr:from>
      <xdr:col>13</xdr:col>
      <xdr:colOff>231914</xdr:colOff>
      <xdr:row>37</xdr:row>
      <xdr:rowOff>115958</xdr:rowOff>
    </xdr:from>
    <xdr:to>
      <xdr:col>21</xdr:col>
      <xdr:colOff>240880</xdr:colOff>
      <xdr:row>40</xdr:row>
      <xdr:rowOff>19344</xdr:rowOff>
    </xdr:to>
    <xdr:pic>
      <xdr:nvPicPr>
        <xdr:cNvPr id="11" name="Graphique 10">
          <a:extLst>
            <a:ext uri="{FF2B5EF4-FFF2-40B4-BE49-F238E27FC236}">
              <a16:creationId xmlns:a16="http://schemas.microsoft.com/office/drawing/2014/main" id="{8AAE69EE-EE57-4B9F-9177-77C875C21D46}"/>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t="34286" b="39752"/>
        <a:stretch/>
      </xdr:blipFill>
      <xdr:spPr>
        <a:xfrm rot="21000000">
          <a:off x="3752023" y="5847523"/>
          <a:ext cx="2129314" cy="325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284560</xdr:colOff>
      <xdr:row>45</xdr:row>
      <xdr:rowOff>160733</xdr:rowOff>
    </xdr:from>
    <xdr:to>
      <xdr:col>20</xdr:col>
      <xdr:colOff>47625</xdr:colOff>
      <xdr:row>58</xdr:row>
      <xdr:rowOff>960</xdr:rowOff>
    </xdr:to>
    <xdr:pic>
      <xdr:nvPicPr>
        <xdr:cNvPr id="7" name="Graphique 6">
          <a:extLst>
            <a:ext uri="{FF2B5EF4-FFF2-40B4-BE49-F238E27FC236}">
              <a16:creationId xmlns:a16="http://schemas.microsoft.com/office/drawing/2014/main" id="{BDB776C4-AD7E-4F79-AE42-5A8BB4BFDA8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53173" t="9109" r="19553" b="10208"/>
        <a:stretch/>
      </xdr:blipFill>
      <xdr:spPr>
        <a:xfrm>
          <a:off x="4797029" y="8340327"/>
          <a:ext cx="1251346" cy="1982161"/>
        </a:xfrm>
        <a:prstGeom prst="rect">
          <a:avLst/>
        </a:prstGeom>
      </xdr:spPr>
    </xdr:pic>
    <xdr:clientData/>
  </xdr:twoCellAnchor>
  <xdr:twoCellAnchor editAs="oneCell">
    <xdr:from>
      <xdr:col>0</xdr:col>
      <xdr:colOff>123824</xdr:colOff>
      <xdr:row>45</xdr:row>
      <xdr:rowOff>152401</xdr:rowOff>
    </xdr:from>
    <xdr:to>
      <xdr:col>3</xdr:col>
      <xdr:colOff>53209</xdr:colOff>
      <xdr:row>57</xdr:row>
      <xdr:rowOff>112827</xdr:rowOff>
    </xdr:to>
    <xdr:pic>
      <xdr:nvPicPr>
        <xdr:cNvPr id="8" name="Graphique 7">
          <a:extLst>
            <a:ext uri="{FF2B5EF4-FFF2-40B4-BE49-F238E27FC236}">
              <a16:creationId xmlns:a16="http://schemas.microsoft.com/office/drawing/2014/main" id="{B1B1B332-89E9-400D-900D-EDDBA14C7BA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80961" t="8794" b="10624"/>
        <a:stretch/>
      </xdr:blipFill>
      <xdr:spPr>
        <a:xfrm>
          <a:off x="123824" y="8331995"/>
          <a:ext cx="869979" cy="1978535"/>
        </a:xfrm>
        <a:prstGeom prst="rect">
          <a:avLst/>
        </a:prstGeom>
      </xdr:spPr>
    </xdr:pic>
    <xdr:clientData/>
  </xdr:twoCellAnchor>
  <xdr:twoCellAnchor editAs="oneCell">
    <xdr:from>
      <xdr:col>5</xdr:col>
      <xdr:colOff>92867</xdr:colOff>
      <xdr:row>45</xdr:row>
      <xdr:rowOff>152401</xdr:rowOff>
    </xdr:from>
    <xdr:to>
      <xdr:col>7</xdr:col>
      <xdr:colOff>242827</xdr:colOff>
      <xdr:row>57</xdr:row>
      <xdr:rowOff>118869</xdr:rowOff>
    </xdr:to>
    <xdr:pic>
      <xdr:nvPicPr>
        <xdr:cNvPr id="9" name="Graphique 8">
          <a:extLst>
            <a:ext uri="{FF2B5EF4-FFF2-40B4-BE49-F238E27FC236}">
              <a16:creationId xmlns:a16="http://schemas.microsoft.com/office/drawing/2014/main" id="{1F06FAAA-468F-4295-88AE-80175D3CA5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9262" t="8795" r="74442" b="10377"/>
        <a:stretch/>
      </xdr:blipFill>
      <xdr:spPr>
        <a:xfrm>
          <a:off x="1628773" y="8331995"/>
          <a:ext cx="745273" cy="1984577"/>
        </a:xfrm>
        <a:prstGeom prst="rect">
          <a:avLst/>
        </a:prstGeom>
      </xdr:spPr>
    </xdr:pic>
    <xdr:clientData/>
  </xdr:twoCellAnchor>
  <xdr:twoCellAnchor editAs="oneCell">
    <xdr:from>
      <xdr:col>9</xdr:col>
      <xdr:colOff>285749</xdr:colOff>
      <xdr:row>45</xdr:row>
      <xdr:rowOff>152401</xdr:rowOff>
    </xdr:from>
    <xdr:to>
      <xdr:col>13</xdr:col>
      <xdr:colOff>47879</xdr:colOff>
      <xdr:row>58</xdr:row>
      <xdr:rowOff>1087</xdr:rowOff>
    </xdr:to>
    <xdr:pic>
      <xdr:nvPicPr>
        <xdr:cNvPr id="10" name="Graphique 9">
          <a:extLst>
            <a:ext uri="{FF2B5EF4-FFF2-40B4-BE49-F238E27FC236}">
              <a16:creationId xmlns:a16="http://schemas.microsoft.com/office/drawing/2014/main" id="{A73F6844-9A68-4FC0-ABBB-BA508ED14E5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32762" t="8793" r="46483" b="10132"/>
        <a:stretch/>
      </xdr:blipFill>
      <xdr:spPr>
        <a:xfrm>
          <a:off x="3012280" y="8331995"/>
          <a:ext cx="952755" cy="1990620"/>
        </a:xfrm>
        <a:prstGeom prst="rect">
          <a:avLst/>
        </a:prstGeom>
      </xdr:spPr>
    </xdr:pic>
    <xdr:clientData/>
  </xdr:twoCellAnchor>
  <xdr:twoCellAnchor editAs="oneCell">
    <xdr:from>
      <xdr:col>13</xdr:col>
      <xdr:colOff>228600</xdr:colOff>
      <xdr:row>23</xdr:row>
      <xdr:rowOff>47625</xdr:rowOff>
    </xdr:from>
    <xdr:to>
      <xdr:col>20</xdr:col>
      <xdr:colOff>290989</xdr:colOff>
      <xdr:row>25</xdr:row>
      <xdr:rowOff>87674</xdr:rowOff>
    </xdr:to>
    <xdr:pic>
      <xdr:nvPicPr>
        <xdr:cNvPr id="11" name="Graphique 10">
          <a:extLst>
            <a:ext uri="{FF2B5EF4-FFF2-40B4-BE49-F238E27FC236}">
              <a16:creationId xmlns:a16="http://schemas.microsoft.com/office/drawing/2014/main" id="{A9B13468-8B75-4F7E-8736-04ED55E8118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t="34286" b="39752"/>
        <a:stretch/>
      </xdr:blipFill>
      <xdr:spPr>
        <a:xfrm rot="21360000">
          <a:off x="4114800" y="4057650"/>
          <a:ext cx="2129314" cy="32579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DDDB-0D11-458C-B794-3C485E6455AE}">
  <dimension ref="A1:C8"/>
  <sheetViews>
    <sheetView showGridLines="0" tabSelected="1" workbookViewId="0">
      <selection activeCell="B23" sqref="B23"/>
    </sheetView>
  </sheetViews>
  <sheetFormatPr baseColWidth="10" defaultRowHeight="15" x14ac:dyDescent="0.25"/>
  <cols>
    <col min="1" max="1" width="19.140625" customWidth="1"/>
    <col min="2" max="2" width="23" customWidth="1"/>
  </cols>
  <sheetData>
    <row r="1" spans="1:3" ht="28.5" customHeight="1" x14ac:dyDescent="0.3">
      <c r="A1" s="1" t="s">
        <v>111</v>
      </c>
    </row>
    <row r="2" spans="1:3" ht="27.75" customHeight="1" x14ac:dyDescent="0.3">
      <c r="A2" s="1" t="s">
        <v>112</v>
      </c>
    </row>
    <row r="4" spans="1:3" ht="23.25" x14ac:dyDescent="0.35">
      <c r="A4" s="2" t="s">
        <v>113</v>
      </c>
      <c r="B4" s="3">
        <v>0</v>
      </c>
    </row>
    <row r="5" spans="1:3" ht="23.25" x14ac:dyDescent="0.35">
      <c r="A5" s="2"/>
      <c r="B5" s="4"/>
    </row>
    <row r="6" spans="1:3" ht="23.25" x14ac:dyDescent="0.35">
      <c r="A6" s="2" t="s">
        <v>114</v>
      </c>
      <c r="B6" s="5">
        <v>1</v>
      </c>
    </row>
    <row r="7" spans="1:3" ht="23.25" x14ac:dyDescent="0.35">
      <c r="A7" s="2"/>
      <c r="B7" s="4"/>
    </row>
    <row r="8" spans="1:3" ht="23.25" x14ac:dyDescent="0.35">
      <c r="A8" s="2" t="s">
        <v>115</v>
      </c>
      <c r="B8" s="6">
        <v>0</v>
      </c>
      <c r="C8" t="s">
        <v>116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7097-F129-4D67-A32A-7E6C429D3FD6}">
  <dimension ref="A1:AB53"/>
  <sheetViews>
    <sheetView view="pageBreakPreview" topLeftCell="A25" zoomScaleNormal="100" zoomScaleSheetLayoutView="100" workbookViewId="0">
      <selection activeCell="M56" sqref="M56"/>
    </sheetView>
  </sheetViews>
  <sheetFormatPr baseColWidth="10" defaultRowHeight="15" x14ac:dyDescent="0.25"/>
  <cols>
    <col min="1" max="1" width="5.140625" style="7" customWidth="1"/>
    <col min="2" max="24" width="4" style="7" customWidth="1"/>
    <col min="25" max="34" width="3.85546875" style="7" customWidth="1"/>
    <col min="35" max="16384" width="11.42578125" style="7"/>
  </cols>
  <sheetData>
    <row r="1" spans="1:24" ht="24" customHeight="1" x14ac:dyDescent="0.4">
      <c r="A1" s="86" t="s">
        <v>40</v>
      </c>
      <c r="B1" s="86"/>
      <c r="C1" s="86"/>
      <c r="D1" s="86"/>
      <c r="E1" s="86"/>
      <c r="F1" s="86"/>
      <c r="G1" s="86"/>
      <c r="H1" s="86"/>
      <c r="I1" s="86"/>
      <c r="J1" s="86"/>
      <c r="K1" s="86"/>
      <c r="L1" s="86"/>
      <c r="M1" s="86"/>
      <c r="N1" s="86"/>
      <c r="O1" s="86"/>
      <c r="P1" s="86"/>
      <c r="Q1" s="86"/>
      <c r="R1" s="86"/>
      <c r="S1" s="86"/>
      <c r="T1" s="86"/>
      <c r="U1" s="86"/>
      <c r="V1" s="86"/>
      <c r="W1" s="86"/>
      <c r="X1" s="86"/>
    </row>
    <row r="2" spans="1:24" x14ac:dyDescent="0.25">
      <c r="A2" s="9"/>
      <c r="B2" s="9"/>
      <c r="C2" s="9"/>
      <c r="D2" s="9"/>
      <c r="E2" s="9"/>
      <c r="F2" s="9"/>
      <c r="G2" s="9"/>
      <c r="H2" s="9"/>
      <c r="I2" s="9"/>
      <c r="J2" s="9"/>
      <c r="K2" s="9"/>
      <c r="L2" s="9"/>
      <c r="M2" s="9"/>
      <c r="N2" s="9"/>
      <c r="O2" s="9"/>
      <c r="P2" s="9"/>
      <c r="Q2" s="9"/>
      <c r="R2" s="9"/>
      <c r="S2" s="9"/>
      <c r="T2" s="9"/>
      <c r="U2" s="9"/>
      <c r="V2" s="9"/>
      <c r="W2" s="9"/>
      <c r="X2" s="9"/>
    </row>
    <row r="3" spans="1:24" ht="23.25" customHeight="1" x14ac:dyDescent="0.25">
      <c r="A3" s="9"/>
      <c r="B3" s="9"/>
      <c r="C3" s="37" t="s">
        <v>42</v>
      </c>
      <c r="D3" s="37"/>
      <c r="E3" s="37"/>
      <c r="F3" s="37"/>
      <c r="G3" s="37"/>
      <c r="H3" s="37"/>
      <c r="I3" s="37"/>
      <c r="J3" s="38"/>
      <c r="K3" s="37"/>
      <c r="L3" s="9"/>
      <c r="M3" s="9"/>
      <c r="N3" s="39"/>
      <c r="O3" s="39"/>
      <c r="P3" s="39"/>
      <c r="Q3" s="39"/>
      <c r="R3" s="39"/>
      <c r="S3" s="39"/>
      <c r="T3" s="39"/>
      <c r="U3" s="40"/>
      <c r="V3" s="39">
        <v>6</v>
      </c>
      <c r="W3" s="9"/>
      <c r="X3" s="9"/>
    </row>
    <row r="4" spans="1:24" ht="23.25" customHeight="1" x14ac:dyDescent="0.25">
      <c r="A4" s="9"/>
      <c r="B4" s="9"/>
      <c r="C4" s="39" t="s">
        <v>106</v>
      </c>
      <c r="D4" s="39"/>
      <c r="E4" s="39"/>
      <c r="F4" s="39"/>
      <c r="G4" s="39"/>
      <c r="H4" s="39"/>
      <c r="I4" s="39"/>
      <c r="J4" s="40"/>
      <c r="K4" s="39">
        <v>3</v>
      </c>
      <c r="L4" s="9"/>
      <c r="M4" s="9"/>
      <c r="N4" s="37" t="s">
        <v>105</v>
      </c>
      <c r="O4" s="37"/>
      <c r="P4" s="37"/>
      <c r="Q4" s="37"/>
      <c r="R4" s="37"/>
      <c r="S4" s="37"/>
      <c r="T4" s="37"/>
      <c r="U4" s="38"/>
      <c r="V4" s="37">
        <v>7</v>
      </c>
      <c r="W4" s="9"/>
      <c r="X4" s="9"/>
    </row>
    <row r="5" spans="1:24" ht="23.25" customHeight="1" x14ac:dyDescent="0.25">
      <c r="A5" s="9"/>
      <c r="B5" s="9"/>
      <c r="C5" s="37" t="s">
        <v>41</v>
      </c>
      <c r="D5" s="37"/>
      <c r="E5" s="37"/>
      <c r="F5" s="37"/>
      <c r="G5" s="37"/>
      <c r="H5" s="37"/>
      <c r="I5" s="37"/>
      <c r="J5" s="38"/>
      <c r="K5" s="37">
        <v>4</v>
      </c>
      <c r="L5" s="9"/>
      <c r="M5" s="9"/>
      <c r="N5" s="39" t="s">
        <v>0</v>
      </c>
      <c r="O5" s="39"/>
      <c r="P5" s="39"/>
      <c r="Q5" s="39"/>
      <c r="R5" s="39"/>
      <c r="S5" s="39"/>
      <c r="T5" s="39"/>
      <c r="U5" s="40"/>
      <c r="V5" s="39">
        <v>11</v>
      </c>
      <c r="W5" s="9"/>
      <c r="X5" s="9"/>
    </row>
    <row r="6" spans="1:24" x14ac:dyDescent="0.25">
      <c r="A6" s="9"/>
      <c r="B6" s="9"/>
      <c r="C6" s="9"/>
      <c r="D6" s="9"/>
      <c r="E6" s="9"/>
      <c r="F6" s="9"/>
      <c r="G6" s="9"/>
      <c r="H6" s="9"/>
      <c r="I6" s="9"/>
      <c r="J6" s="9"/>
      <c r="K6" s="9"/>
      <c r="L6" s="9"/>
      <c r="M6" s="9"/>
      <c r="N6" s="9"/>
      <c r="O6" s="9"/>
      <c r="P6" s="9"/>
      <c r="Q6" s="9"/>
      <c r="R6" s="9"/>
      <c r="S6" s="9"/>
      <c r="T6" s="9"/>
      <c r="U6" s="9"/>
      <c r="V6" s="9"/>
      <c r="W6" s="9"/>
      <c r="X6" s="9"/>
    </row>
    <row r="7" spans="1:24" x14ac:dyDescent="0.25">
      <c r="A7" s="9"/>
      <c r="B7" s="9"/>
      <c r="C7" s="9"/>
      <c r="D7" s="9"/>
      <c r="E7" s="9"/>
      <c r="F7" s="9"/>
      <c r="G7" s="9"/>
      <c r="H7" s="9"/>
      <c r="I7" s="9"/>
      <c r="J7" s="9"/>
      <c r="K7" s="9"/>
      <c r="L7" s="9"/>
      <c r="M7" s="9"/>
      <c r="N7" s="9"/>
      <c r="O7" s="9"/>
      <c r="P7" s="9"/>
      <c r="Q7" s="9"/>
      <c r="R7" s="9"/>
      <c r="S7" s="9"/>
      <c r="T7" s="9"/>
      <c r="U7" s="9"/>
      <c r="V7" s="9"/>
      <c r="W7" s="9"/>
      <c r="X7" s="9"/>
    </row>
    <row r="8" spans="1:24" x14ac:dyDescent="0.25">
      <c r="A8" s="9"/>
      <c r="B8" s="9"/>
      <c r="C8" s="9"/>
      <c r="D8" s="9"/>
      <c r="E8" s="9"/>
      <c r="F8" s="9"/>
      <c r="G8" s="9"/>
      <c r="H8" s="9"/>
      <c r="I8" s="9"/>
      <c r="J8" s="9"/>
      <c r="K8" s="9"/>
      <c r="L8" s="9"/>
      <c r="M8" s="9"/>
      <c r="N8" s="9"/>
      <c r="O8" s="9"/>
      <c r="P8" s="9"/>
      <c r="Q8" s="9"/>
      <c r="R8" s="9"/>
      <c r="S8" s="9"/>
      <c r="T8" s="9"/>
      <c r="U8" s="9"/>
      <c r="V8" s="9"/>
      <c r="W8" s="9"/>
      <c r="X8" s="9"/>
    </row>
    <row r="9" spans="1:24" x14ac:dyDescent="0.25">
      <c r="A9" s="9"/>
      <c r="B9" s="9"/>
      <c r="C9" s="9"/>
      <c r="D9" s="9"/>
      <c r="E9" s="9"/>
      <c r="F9" s="9"/>
      <c r="G9" s="9"/>
      <c r="H9" s="9"/>
      <c r="I9" s="9"/>
      <c r="J9" s="9"/>
      <c r="K9" s="9"/>
      <c r="L9" s="9"/>
      <c r="M9" s="9"/>
      <c r="N9" s="9"/>
      <c r="O9" s="9"/>
      <c r="P9" s="9"/>
      <c r="Q9" s="9"/>
      <c r="R9" s="9"/>
      <c r="S9" s="9"/>
      <c r="T9" s="9"/>
      <c r="U9" s="9"/>
      <c r="V9" s="9"/>
      <c r="W9" s="9"/>
      <c r="X9" s="9"/>
    </row>
    <row r="10" spans="1:24" ht="24" customHeight="1" x14ac:dyDescent="0.4">
      <c r="A10" s="86" t="s">
        <v>46</v>
      </c>
      <c r="B10" s="86"/>
      <c r="C10" s="86"/>
      <c r="D10" s="86"/>
      <c r="E10" s="86"/>
      <c r="F10" s="86"/>
      <c r="G10" s="86"/>
      <c r="H10" s="86"/>
      <c r="I10" s="86"/>
      <c r="J10" s="86"/>
      <c r="K10" s="86"/>
      <c r="L10" s="86"/>
      <c r="M10" s="86"/>
      <c r="N10" s="86"/>
      <c r="O10" s="86"/>
      <c r="P10" s="86"/>
      <c r="Q10" s="86"/>
      <c r="R10" s="86"/>
      <c r="S10" s="86"/>
      <c r="T10" s="86"/>
      <c r="U10" s="86"/>
      <c r="V10" s="86"/>
      <c r="W10" s="86"/>
      <c r="X10" s="86"/>
    </row>
    <row r="11" spans="1:24" x14ac:dyDescent="0.25">
      <c r="A11" s="9"/>
      <c r="B11" s="9"/>
      <c r="C11" s="9"/>
      <c r="D11" s="9"/>
      <c r="E11" s="9"/>
      <c r="F11" s="9"/>
      <c r="G11" s="9"/>
      <c r="H11" s="9"/>
      <c r="I11" s="9"/>
      <c r="J11" s="9"/>
      <c r="K11" s="9"/>
      <c r="L11" s="9"/>
      <c r="M11" s="9"/>
      <c r="N11" s="9"/>
      <c r="O11" s="9"/>
      <c r="P11" s="9"/>
      <c r="Q11" s="9"/>
      <c r="R11" s="9"/>
      <c r="S11" s="9"/>
      <c r="T11" s="9"/>
      <c r="U11" s="9"/>
      <c r="V11" s="9"/>
      <c r="W11" s="9"/>
      <c r="X11" s="9"/>
    </row>
    <row r="12" spans="1:24" x14ac:dyDescent="0.25">
      <c r="A12" s="9"/>
      <c r="B12" s="9"/>
      <c r="C12" s="9"/>
      <c r="D12" s="9"/>
      <c r="E12" s="9"/>
      <c r="F12" s="9"/>
      <c r="G12" s="9"/>
      <c r="H12" s="9"/>
      <c r="I12" s="9"/>
      <c r="J12" s="9"/>
      <c r="K12" s="9"/>
      <c r="L12" s="9"/>
      <c r="M12" s="9"/>
      <c r="N12" s="9"/>
      <c r="O12" s="9"/>
      <c r="P12" s="9"/>
      <c r="Q12" s="9"/>
      <c r="R12" s="9"/>
      <c r="S12" s="9"/>
      <c r="T12" s="9"/>
      <c r="U12" s="9"/>
      <c r="V12" s="9"/>
      <c r="W12" s="9"/>
      <c r="X12" s="9"/>
    </row>
    <row r="13" spans="1:24" ht="18.75" x14ac:dyDescent="0.3">
      <c r="A13" s="9"/>
      <c r="B13" s="9"/>
      <c r="C13" s="9"/>
      <c r="D13" s="9"/>
      <c r="E13" s="9"/>
      <c r="F13" s="9"/>
      <c r="G13" s="9"/>
      <c r="H13" s="41" t="s">
        <v>47</v>
      </c>
      <c r="I13" s="9"/>
      <c r="J13" s="9"/>
      <c r="K13" s="9"/>
      <c r="L13" s="9"/>
      <c r="M13" s="9"/>
      <c r="N13" s="9"/>
      <c r="O13" s="9"/>
      <c r="P13" s="9"/>
      <c r="Q13" s="9"/>
      <c r="R13" s="9"/>
      <c r="S13" s="9"/>
      <c r="T13" s="9"/>
      <c r="U13" s="9"/>
      <c r="V13" s="9"/>
      <c r="W13" s="9"/>
      <c r="X13" s="9"/>
    </row>
    <row r="14" spans="1:24" ht="18.75" customHeight="1" x14ac:dyDescent="0.3">
      <c r="A14" s="9"/>
      <c r="B14" s="9"/>
      <c r="C14" s="9"/>
      <c r="D14" s="9"/>
      <c r="E14" s="9"/>
      <c r="F14" s="9"/>
      <c r="G14" s="9"/>
      <c r="H14" s="42" t="s">
        <v>48</v>
      </c>
      <c r="I14" s="9"/>
      <c r="J14" s="9"/>
      <c r="K14" s="9"/>
      <c r="L14" s="9"/>
      <c r="M14" s="9"/>
      <c r="N14" s="9"/>
      <c r="O14" s="9"/>
      <c r="P14" s="9"/>
      <c r="Q14" s="9"/>
      <c r="R14" s="9"/>
      <c r="S14" s="9"/>
      <c r="T14" s="9"/>
      <c r="U14" s="9"/>
      <c r="V14" s="9"/>
      <c r="W14" s="9"/>
      <c r="X14" s="9"/>
    </row>
    <row r="15" spans="1:24" ht="12.75" customHeight="1" x14ac:dyDescent="0.25">
      <c r="A15" s="9"/>
      <c r="B15" s="9"/>
      <c r="C15" s="9"/>
      <c r="D15" s="9"/>
      <c r="E15" s="9"/>
      <c r="F15" s="9"/>
      <c r="G15" s="9"/>
      <c r="H15" s="9"/>
      <c r="I15" s="9"/>
      <c r="J15" s="9"/>
      <c r="K15" s="9"/>
      <c r="L15" s="9"/>
      <c r="M15" s="9"/>
      <c r="N15" s="9"/>
      <c r="O15" s="9"/>
      <c r="P15" s="9"/>
      <c r="Q15" s="9"/>
      <c r="R15" s="9"/>
      <c r="S15" s="9"/>
      <c r="T15" s="9"/>
      <c r="U15" s="9"/>
      <c r="V15" s="9"/>
      <c r="W15" s="9"/>
      <c r="X15" s="9"/>
    </row>
    <row r="16" spans="1:24" ht="12.75" customHeight="1" x14ac:dyDescent="0.25">
      <c r="A16" s="9"/>
      <c r="B16" s="9"/>
      <c r="C16" s="9"/>
      <c r="D16" s="9"/>
      <c r="E16" s="9"/>
      <c r="F16" s="9"/>
      <c r="G16" s="9"/>
      <c r="H16" s="9"/>
      <c r="I16" s="9"/>
      <c r="J16" s="9"/>
      <c r="K16" s="9"/>
      <c r="L16" s="9"/>
      <c r="M16" s="9"/>
      <c r="N16" s="9"/>
      <c r="O16" s="9"/>
      <c r="P16" s="9"/>
      <c r="Q16" s="9"/>
      <c r="R16" s="9"/>
      <c r="S16" s="9"/>
      <c r="T16" s="9"/>
      <c r="U16" s="9"/>
      <c r="V16" s="9"/>
      <c r="W16" s="9"/>
      <c r="X16" s="9"/>
    </row>
    <row r="17" spans="1:28" ht="12.75" customHeight="1" x14ac:dyDescent="0.25">
      <c r="A17" s="9"/>
      <c r="B17" s="9"/>
      <c r="C17" s="9"/>
      <c r="D17" s="9"/>
      <c r="E17" s="9"/>
      <c r="F17" s="9"/>
      <c r="G17" s="9"/>
      <c r="H17" s="9"/>
      <c r="I17" s="9"/>
      <c r="J17" s="9"/>
      <c r="K17" s="9"/>
      <c r="L17" s="9"/>
      <c r="M17" s="9"/>
      <c r="N17" s="9"/>
      <c r="O17" s="9"/>
      <c r="P17" s="9"/>
      <c r="Q17" s="9"/>
      <c r="R17" s="9"/>
      <c r="S17" s="9"/>
      <c r="T17" s="9"/>
      <c r="U17" s="9"/>
      <c r="V17" s="9"/>
      <c r="W17" s="9"/>
      <c r="X17" s="9"/>
    </row>
    <row r="18" spans="1:28" ht="12.75" customHeight="1" x14ac:dyDescent="0.25">
      <c r="A18" s="9"/>
      <c r="B18" s="9"/>
      <c r="C18" s="9"/>
      <c r="D18" s="9"/>
      <c r="E18" s="9"/>
      <c r="F18" s="9"/>
      <c r="G18" s="9"/>
      <c r="H18" s="9"/>
      <c r="I18" s="9"/>
      <c r="J18" s="9"/>
      <c r="K18" s="9"/>
      <c r="L18" s="9"/>
      <c r="M18" s="9"/>
      <c r="N18" s="9"/>
      <c r="O18" s="9"/>
      <c r="P18" s="9"/>
      <c r="Q18" s="9"/>
      <c r="R18" s="9"/>
      <c r="S18" s="9"/>
      <c r="T18" s="9"/>
      <c r="U18" s="9"/>
      <c r="V18" s="9"/>
      <c r="W18" s="9"/>
      <c r="X18" s="9"/>
    </row>
    <row r="19" spans="1:28" ht="12.75" customHeight="1" x14ac:dyDescent="0.25">
      <c r="A19" s="9"/>
      <c r="B19" s="9"/>
      <c r="C19" s="9"/>
      <c r="D19" s="9"/>
      <c r="E19" s="9"/>
      <c r="F19" s="9"/>
      <c r="G19" s="9"/>
      <c r="H19" s="9"/>
      <c r="I19" s="9"/>
      <c r="J19" s="9"/>
      <c r="K19" s="9"/>
      <c r="L19" s="9"/>
      <c r="M19" s="9"/>
      <c r="N19" s="9"/>
      <c r="O19" s="9"/>
      <c r="P19" s="9"/>
      <c r="Q19" s="9"/>
      <c r="R19" s="9"/>
      <c r="S19" s="9"/>
      <c r="T19" s="9"/>
      <c r="U19" s="9"/>
      <c r="V19" s="9"/>
      <c r="W19" s="9"/>
      <c r="X19" s="9"/>
    </row>
    <row r="20" spans="1:28" ht="12.75" customHeight="1" x14ac:dyDescent="0.25">
      <c r="A20" s="9"/>
      <c r="B20" s="9"/>
      <c r="C20" s="9"/>
      <c r="D20" s="9"/>
      <c r="E20" s="9"/>
      <c r="F20" s="9"/>
      <c r="G20" s="9"/>
      <c r="H20" s="9"/>
      <c r="I20" s="9"/>
      <c r="J20" s="9"/>
      <c r="K20" s="9"/>
      <c r="L20" s="9"/>
      <c r="M20" s="9"/>
      <c r="N20" s="9"/>
      <c r="O20" s="9"/>
      <c r="P20" s="9"/>
      <c r="Q20" s="9"/>
      <c r="R20" s="9"/>
      <c r="S20" s="9"/>
      <c r="T20" s="9"/>
      <c r="U20" s="9"/>
      <c r="V20" s="9"/>
      <c r="W20" s="9"/>
      <c r="X20" s="9"/>
    </row>
    <row r="21" spans="1:28" ht="12.75" customHeight="1" x14ac:dyDescent="0.25">
      <c r="A21" s="9"/>
      <c r="B21" s="9"/>
      <c r="C21" s="9"/>
      <c r="D21" s="9"/>
      <c r="E21" s="9"/>
      <c r="F21" s="9"/>
      <c r="G21" s="9"/>
      <c r="H21" s="9"/>
      <c r="I21" s="9"/>
      <c r="J21" s="9"/>
      <c r="K21" s="9"/>
      <c r="L21" s="9"/>
      <c r="M21" s="9"/>
      <c r="N21" s="9"/>
      <c r="O21" s="9"/>
      <c r="P21" s="9"/>
      <c r="Q21" s="9"/>
      <c r="R21" s="9"/>
      <c r="S21" s="9"/>
      <c r="T21" s="9"/>
      <c r="U21" s="9"/>
      <c r="V21" s="9"/>
      <c r="W21" s="9"/>
      <c r="X21" s="9"/>
    </row>
    <row r="22" spans="1:28" x14ac:dyDescent="0.25">
      <c r="A22" s="9"/>
      <c r="B22" s="9"/>
      <c r="C22" s="9"/>
      <c r="D22" s="9"/>
      <c r="E22" s="9"/>
      <c r="F22" s="9"/>
      <c r="G22" s="9"/>
      <c r="H22" s="9"/>
      <c r="I22" s="9"/>
      <c r="J22" s="9"/>
      <c r="K22" s="9"/>
      <c r="L22" s="9"/>
      <c r="M22" s="9"/>
      <c r="N22" s="9"/>
      <c r="O22" s="9"/>
      <c r="P22" s="9"/>
      <c r="Q22" s="9"/>
      <c r="R22" s="9"/>
      <c r="S22" s="9"/>
      <c r="T22" s="9"/>
      <c r="U22" s="9"/>
      <c r="V22" s="9"/>
      <c r="W22" s="9"/>
      <c r="X22" s="9"/>
    </row>
    <row r="23" spans="1:28" ht="12.75" customHeight="1" x14ac:dyDescent="0.25">
      <c r="A23" s="9" t="s">
        <v>56</v>
      </c>
      <c r="B23" s="9"/>
      <c r="C23" s="9"/>
      <c r="D23" s="9"/>
      <c r="E23" s="9"/>
      <c r="F23" s="9"/>
      <c r="G23" s="9"/>
      <c r="H23" s="9"/>
      <c r="I23" s="9"/>
      <c r="J23" s="9" t="s">
        <v>49</v>
      </c>
      <c r="K23" s="9"/>
      <c r="L23" s="9"/>
      <c r="M23" s="9"/>
      <c r="N23" s="9"/>
      <c r="O23" s="9"/>
      <c r="P23" s="9"/>
      <c r="Q23" s="9"/>
      <c r="R23" s="9"/>
      <c r="S23" s="9"/>
      <c r="T23" s="9"/>
      <c r="U23" s="9"/>
      <c r="V23" s="9"/>
      <c r="W23" s="9"/>
      <c r="X23" s="9"/>
    </row>
    <row r="24" spans="1:28" ht="5.25" customHeight="1" x14ac:dyDescent="0.25">
      <c r="A24" s="9"/>
      <c r="B24" s="9"/>
      <c r="C24" s="9"/>
      <c r="D24" s="9"/>
      <c r="E24" s="9"/>
      <c r="F24" s="9"/>
      <c r="G24" s="9"/>
      <c r="H24" s="9"/>
      <c r="I24" s="9"/>
      <c r="J24" s="9"/>
      <c r="K24" s="9"/>
      <c r="L24" s="9"/>
      <c r="M24" s="9"/>
      <c r="N24" s="9"/>
      <c r="O24" s="9"/>
      <c r="P24" s="9"/>
      <c r="Q24" s="9"/>
      <c r="R24" s="9"/>
      <c r="S24" s="9"/>
      <c r="T24" s="9"/>
      <c r="U24" s="9"/>
      <c r="V24" s="9"/>
      <c r="W24" s="9"/>
      <c r="X24" s="9"/>
    </row>
    <row r="25" spans="1:28" ht="12.75" customHeight="1" x14ac:dyDescent="0.25">
      <c r="A25" s="9"/>
      <c r="B25" s="9"/>
      <c r="C25" s="9"/>
      <c r="D25" s="9"/>
      <c r="E25" s="9"/>
      <c r="F25" s="9"/>
      <c r="G25" s="9"/>
      <c r="H25" s="9"/>
      <c r="I25" s="9"/>
      <c r="J25" s="87" t="s">
        <v>50</v>
      </c>
      <c r="K25" s="87"/>
      <c r="L25" s="87"/>
      <c r="M25" s="87"/>
      <c r="N25" s="87"/>
      <c r="O25" s="87"/>
      <c r="P25" s="87"/>
      <c r="Q25" s="87"/>
      <c r="R25" s="87"/>
      <c r="S25" s="87"/>
      <c r="T25" s="87"/>
      <c r="U25" s="87"/>
      <c r="V25" s="87"/>
      <c r="W25" s="87"/>
      <c r="X25" s="87"/>
      <c r="Y25" s="11"/>
      <c r="Z25" s="11"/>
      <c r="AA25" s="11"/>
      <c r="AB25" s="11"/>
    </row>
    <row r="26" spans="1:28" ht="12.75" customHeight="1" x14ac:dyDescent="0.25">
      <c r="A26" s="9"/>
      <c r="B26" s="9"/>
      <c r="C26" s="9"/>
      <c r="D26" s="9"/>
      <c r="E26" s="9"/>
      <c r="F26" s="9"/>
      <c r="G26" s="9"/>
      <c r="H26" s="9"/>
      <c r="I26" s="9"/>
      <c r="J26" s="87"/>
      <c r="K26" s="87"/>
      <c r="L26" s="87"/>
      <c r="M26" s="87"/>
      <c r="N26" s="87"/>
      <c r="O26" s="87"/>
      <c r="P26" s="87"/>
      <c r="Q26" s="87"/>
      <c r="R26" s="87"/>
      <c r="S26" s="87"/>
      <c r="T26" s="87"/>
      <c r="U26" s="87"/>
      <c r="V26" s="87"/>
      <c r="W26" s="87"/>
      <c r="X26" s="87"/>
      <c r="Y26" s="11"/>
      <c r="Z26" s="11"/>
      <c r="AA26" s="11"/>
      <c r="AB26" s="11"/>
    </row>
    <row r="27" spans="1:28" ht="5.25" customHeight="1" x14ac:dyDescent="0.25">
      <c r="A27" s="9"/>
      <c r="B27" s="9"/>
      <c r="C27" s="9"/>
      <c r="D27" s="9"/>
      <c r="E27" s="9"/>
      <c r="F27" s="9"/>
      <c r="G27" s="9"/>
      <c r="H27" s="9"/>
      <c r="I27" s="9"/>
      <c r="J27" s="43"/>
      <c r="K27" s="43"/>
      <c r="L27" s="43"/>
      <c r="M27" s="43"/>
      <c r="N27" s="43"/>
      <c r="O27" s="43"/>
      <c r="P27" s="43"/>
      <c r="Q27" s="43"/>
      <c r="R27" s="43"/>
      <c r="S27" s="43"/>
      <c r="T27" s="43"/>
      <c r="U27" s="43"/>
      <c r="V27" s="43"/>
      <c r="W27" s="43"/>
      <c r="X27" s="43"/>
      <c r="Y27" s="12"/>
      <c r="Z27" s="12"/>
      <c r="AA27" s="12"/>
      <c r="AB27" s="12"/>
    </row>
    <row r="28" spans="1:28" ht="15.75" customHeight="1" x14ac:dyDescent="0.25">
      <c r="A28" s="9"/>
      <c r="B28" s="9"/>
      <c r="C28" s="9"/>
      <c r="D28" s="9"/>
      <c r="E28" s="9"/>
      <c r="F28" s="9"/>
      <c r="G28" s="9"/>
      <c r="H28" s="9"/>
      <c r="I28" s="9"/>
      <c r="J28" s="44" t="s">
        <v>51</v>
      </c>
      <c r="K28" s="44"/>
      <c r="L28" s="44"/>
      <c r="M28" s="44"/>
      <c r="N28" s="44"/>
      <c r="O28" s="44"/>
      <c r="P28" s="44"/>
      <c r="Q28" s="44"/>
      <c r="R28" s="44"/>
      <c r="S28" s="44"/>
      <c r="T28" s="44"/>
      <c r="U28" s="44"/>
      <c r="V28" s="44"/>
      <c r="W28" s="44"/>
      <c r="X28" s="44"/>
    </row>
    <row r="29" spans="1:28" ht="15.75" customHeight="1" x14ac:dyDescent="0.25">
      <c r="A29" s="9"/>
      <c r="B29" s="9"/>
      <c r="C29" s="9"/>
      <c r="D29" s="9"/>
      <c r="E29" s="9"/>
      <c r="F29" s="9"/>
      <c r="G29" s="9"/>
      <c r="H29" s="9"/>
      <c r="I29" s="9"/>
      <c r="J29" s="44"/>
      <c r="K29" s="88" t="s">
        <v>52</v>
      </c>
      <c r="L29" s="88"/>
      <c r="M29" s="88"/>
      <c r="N29" s="88"/>
      <c r="O29" s="88"/>
      <c r="P29" s="88"/>
      <c r="Q29" s="88"/>
      <c r="R29" s="88"/>
      <c r="S29" s="88"/>
      <c r="T29" s="88"/>
      <c r="U29" s="88"/>
      <c r="V29" s="88"/>
      <c r="W29" s="88"/>
      <c r="X29" s="88"/>
    </row>
    <row r="30" spans="1:28" ht="15.75" customHeight="1" x14ac:dyDescent="0.25">
      <c r="A30" s="9"/>
      <c r="B30" s="9"/>
      <c r="C30" s="9"/>
      <c r="D30" s="9"/>
      <c r="E30" s="9"/>
      <c r="F30" s="9"/>
      <c r="G30" s="9"/>
      <c r="H30" s="9"/>
      <c r="I30" s="9"/>
      <c r="J30" s="9"/>
      <c r="K30" s="88"/>
      <c r="L30" s="88"/>
      <c r="M30" s="88"/>
      <c r="N30" s="88"/>
      <c r="O30" s="88"/>
      <c r="P30" s="88"/>
      <c r="Q30" s="88"/>
      <c r="R30" s="88"/>
      <c r="S30" s="88"/>
      <c r="T30" s="88"/>
      <c r="U30" s="88"/>
      <c r="V30" s="88"/>
      <c r="W30" s="88"/>
      <c r="X30" s="88"/>
    </row>
    <row r="31" spans="1:28" ht="15.75" customHeight="1" x14ac:dyDescent="0.25">
      <c r="A31" s="9"/>
      <c r="B31" s="9"/>
      <c r="C31" s="9"/>
      <c r="D31" s="9"/>
      <c r="E31" s="9"/>
      <c r="F31" s="9"/>
      <c r="G31" s="9"/>
      <c r="H31" s="9"/>
      <c r="I31" s="9"/>
      <c r="J31" s="9"/>
      <c r="K31" s="88" t="s">
        <v>53</v>
      </c>
      <c r="L31" s="88"/>
      <c r="M31" s="88"/>
      <c r="N31" s="88"/>
      <c r="O31" s="88"/>
      <c r="P31" s="88"/>
      <c r="Q31" s="88"/>
      <c r="R31" s="88"/>
      <c r="S31" s="88"/>
      <c r="T31" s="88"/>
      <c r="U31" s="88"/>
      <c r="V31" s="88"/>
      <c r="W31" s="88"/>
      <c r="X31" s="88"/>
    </row>
    <row r="32" spans="1:28" ht="15.75" customHeight="1" x14ac:dyDescent="0.25">
      <c r="A32" s="9"/>
      <c r="B32" s="9"/>
      <c r="C32" s="9"/>
      <c r="D32" s="9"/>
      <c r="E32" s="9"/>
      <c r="F32" s="9"/>
      <c r="G32" s="9"/>
      <c r="H32" s="9"/>
      <c r="I32" s="9"/>
      <c r="J32" s="9"/>
      <c r="K32" s="88"/>
      <c r="L32" s="88"/>
      <c r="M32" s="88"/>
      <c r="N32" s="88"/>
      <c r="O32" s="88"/>
      <c r="P32" s="88"/>
      <c r="Q32" s="88"/>
      <c r="R32" s="88"/>
      <c r="S32" s="88"/>
      <c r="T32" s="88"/>
      <c r="U32" s="88"/>
      <c r="V32" s="88"/>
      <c r="W32" s="88"/>
      <c r="X32" s="88"/>
    </row>
    <row r="33" spans="1:28" ht="12.75" customHeight="1" x14ac:dyDescent="0.25">
      <c r="A33" s="9"/>
      <c r="B33" s="9"/>
      <c r="C33" s="9"/>
      <c r="D33" s="9"/>
      <c r="E33" s="9"/>
      <c r="F33" s="9"/>
      <c r="G33" s="9"/>
      <c r="H33" s="9"/>
      <c r="I33" s="9"/>
      <c r="J33" s="9"/>
      <c r="K33" s="9"/>
      <c r="L33" s="9"/>
      <c r="M33" s="9"/>
      <c r="N33" s="9"/>
      <c r="O33" s="9"/>
      <c r="P33" s="9"/>
      <c r="Q33" s="9"/>
      <c r="R33" s="9"/>
      <c r="S33" s="9"/>
      <c r="T33" s="9"/>
      <c r="U33" s="9"/>
      <c r="V33" s="9"/>
      <c r="W33" s="9"/>
      <c r="X33" s="9"/>
    </row>
    <row r="34" spans="1:28" x14ac:dyDescent="0.25">
      <c r="A34" s="9"/>
      <c r="B34" s="9"/>
      <c r="C34" s="9"/>
      <c r="D34" s="9"/>
      <c r="E34" s="9"/>
      <c r="F34" s="9"/>
      <c r="G34" s="9"/>
      <c r="H34" s="9"/>
      <c r="I34" s="9"/>
      <c r="J34" s="9"/>
      <c r="K34" s="9"/>
      <c r="L34" s="9"/>
      <c r="M34" s="9"/>
      <c r="N34" s="9"/>
      <c r="O34" s="9"/>
      <c r="P34" s="9"/>
      <c r="Q34" s="9"/>
      <c r="R34" s="9"/>
      <c r="S34" s="9"/>
      <c r="T34" s="9"/>
      <c r="U34" s="9"/>
      <c r="V34" s="9"/>
      <c r="W34" s="9"/>
      <c r="X34" s="9"/>
    </row>
    <row r="35" spans="1:28" x14ac:dyDescent="0.25">
      <c r="A35" s="9"/>
      <c r="B35" s="9"/>
      <c r="C35" s="9"/>
      <c r="D35" s="9"/>
      <c r="E35" s="9"/>
      <c r="F35" s="9"/>
      <c r="G35" s="9"/>
      <c r="H35" s="9"/>
      <c r="I35" s="9"/>
      <c r="J35" s="9"/>
      <c r="K35" s="9"/>
      <c r="L35" s="9"/>
      <c r="M35" s="9"/>
      <c r="N35" s="9"/>
      <c r="O35" s="9"/>
      <c r="P35" s="9"/>
      <c r="Q35" s="9"/>
      <c r="R35" s="9"/>
      <c r="S35" s="9"/>
      <c r="T35" s="9"/>
      <c r="U35" s="9"/>
      <c r="V35" s="9"/>
      <c r="W35" s="9"/>
      <c r="X35" s="9"/>
    </row>
    <row r="36" spans="1:28" x14ac:dyDescent="0.25">
      <c r="A36" s="9"/>
      <c r="B36" s="9"/>
      <c r="C36" s="9"/>
      <c r="D36" s="9"/>
      <c r="E36" s="9"/>
      <c r="F36" s="9"/>
      <c r="G36" s="9"/>
      <c r="H36" s="9"/>
      <c r="I36" s="9"/>
      <c r="J36" s="9"/>
      <c r="K36" s="9"/>
      <c r="L36" s="9"/>
      <c r="M36" s="9"/>
      <c r="N36" s="9"/>
      <c r="O36" s="9"/>
      <c r="P36" s="9"/>
      <c r="Q36" s="9"/>
      <c r="R36" s="9"/>
      <c r="S36" s="9"/>
      <c r="T36" s="9"/>
      <c r="U36" s="9"/>
      <c r="V36" s="9"/>
      <c r="W36" s="9"/>
      <c r="X36" s="9"/>
    </row>
    <row r="37" spans="1:28" x14ac:dyDescent="0.25">
      <c r="A37" s="9"/>
      <c r="B37" s="9"/>
      <c r="C37" s="9"/>
      <c r="D37" s="9"/>
      <c r="E37" s="9"/>
      <c r="F37" s="9"/>
      <c r="G37" s="9"/>
      <c r="H37" s="9"/>
      <c r="I37" s="9"/>
      <c r="J37" s="9"/>
      <c r="K37" s="9"/>
      <c r="L37" s="9"/>
      <c r="M37" s="9"/>
      <c r="N37" s="9"/>
      <c r="O37" s="9"/>
      <c r="P37" s="9"/>
      <c r="Q37" s="9"/>
      <c r="R37" s="9"/>
      <c r="S37" s="9"/>
      <c r="T37" s="9"/>
      <c r="U37" s="9"/>
      <c r="V37" s="9"/>
      <c r="W37" s="9"/>
      <c r="X37" s="9"/>
    </row>
    <row r="38" spans="1:28" ht="26.25" customHeight="1" x14ac:dyDescent="0.5">
      <c r="A38" s="45"/>
      <c r="B38" s="45"/>
      <c r="C38" s="45"/>
      <c r="D38" s="45"/>
      <c r="E38" s="45"/>
      <c r="F38" s="45"/>
      <c r="G38" s="45"/>
      <c r="H38" s="45"/>
      <c r="I38" s="45"/>
      <c r="J38" s="45"/>
      <c r="K38" s="45"/>
      <c r="L38" s="45"/>
      <c r="M38" s="45"/>
      <c r="N38" s="45"/>
      <c r="O38" s="45"/>
      <c r="P38" s="45"/>
      <c r="Q38" s="45"/>
      <c r="R38" s="45"/>
      <c r="S38" s="45"/>
      <c r="T38" s="45"/>
      <c r="U38" s="45"/>
      <c r="V38" s="45"/>
      <c r="W38" s="45"/>
      <c r="X38" s="45"/>
    </row>
    <row r="39" spans="1:28" ht="19.5" customHeight="1" x14ac:dyDescent="0.35">
      <c r="A39" s="46" t="s">
        <v>122</v>
      </c>
      <c r="B39" s="47"/>
      <c r="C39" s="47"/>
      <c r="D39" s="47"/>
      <c r="E39" s="47"/>
      <c r="F39" s="47"/>
      <c r="G39" s="47"/>
      <c r="H39" s="47"/>
      <c r="I39" s="47"/>
      <c r="J39" s="47"/>
      <c r="K39" s="47"/>
      <c r="L39" s="47"/>
      <c r="M39" s="47"/>
      <c r="N39" s="47"/>
      <c r="O39" s="47"/>
      <c r="P39" s="47"/>
      <c r="Q39" s="47"/>
      <c r="R39" s="47"/>
      <c r="S39" s="47"/>
      <c r="T39" s="47"/>
      <c r="U39" s="47"/>
      <c r="V39" s="47"/>
      <c r="W39" s="47"/>
      <c r="X39" s="48" t="s">
        <v>14</v>
      </c>
    </row>
    <row r="40" spans="1:28" ht="17.25" customHeight="1" x14ac:dyDescent="0.3">
      <c r="A40" s="85" t="s">
        <v>54</v>
      </c>
      <c r="B40" s="85"/>
      <c r="C40" s="85"/>
      <c r="D40" s="85"/>
      <c r="E40" s="85"/>
      <c r="F40" s="85"/>
      <c r="G40" s="85"/>
      <c r="H40" s="85"/>
      <c r="I40" s="85"/>
      <c r="J40" s="85"/>
      <c r="K40" s="85"/>
      <c r="L40" s="85"/>
      <c r="M40" s="85"/>
      <c r="N40" s="85"/>
      <c r="O40" s="85"/>
      <c r="P40" s="85"/>
      <c r="Q40" s="85"/>
      <c r="R40" s="85"/>
      <c r="S40" s="85"/>
      <c r="T40" s="85"/>
      <c r="U40" s="85"/>
      <c r="V40" s="49"/>
      <c r="W40" s="49"/>
      <c r="X40" s="49"/>
    </row>
    <row r="41" spans="1:28" ht="24" customHeight="1" x14ac:dyDescent="0.25">
      <c r="A41" s="92" t="s">
        <v>55</v>
      </c>
      <c r="B41" s="92"/>
      <c r="C41" s="92"/>
      <c r="D41" s="92"/>
      <c r="E41" s="92"/>
      <c r="F41" s="92"/>
      <c r="G41" s="92"/>
      <c r="H41" s="92"/>
      <c r="I41" s="92"/>
      <c r="J41" s="92"/>
      <c r="K41" s="92"/>
      <c r="L41" s="92"/>
      <c r="M41" s="92"/>
      <c r="N41" s="92"/>
      <c r="O41" s="92"/>
      <c r="P41" s="92"/>
      <c r="Q41" s="92"/>
      <c r="R41" s="92"/>
      <c r="S41" s="92"/>
      <c r="T41" s="92"/>
      <c r="U41" s="92"/>
      <c r="V41" s="50"/>
      <c r="W41" s="50"/>
      <c r="X41" s="50"/>
    </row>
    <row r="42" spans="1:28" ht="23.25" customHeight="1" x14ac:dyDescent="0.25">
      <c r="A42" s="93" t="s">
        <v>68</v>
      </c>
      <c r="B42" s="93"/>
      <c r="C42" s="93"/>
      <c r="D42" s="93"/>
      <c r="E42" s="93"/>
      <c r="F42" s="93"/>
      <c r="G42" s="93"/>
      <c r="H42" s="93"/>
      <c r="I42" s="93"/>
      <c r="J42" s="93"/>
      <c r="K42" s="93"/>
      <c r="L42" s="93"/>
      <c r="M42" s="93"/>
      <c r="N42" s="93"/>
      <c r="O42" s="93"/>
      <c r="P42" s="93"/>
      <c r="Q42" s="93"/>
      <c r="R42" s="93"/>
      <c r="S42" s="93"/>
      <c r="T42" s="93"/>
      <c r="U42" s="93"/>
      <c r="V42" s="93"/>
      <c r="W42" s="51"/>
      <c r="X42" s="51"/>
    </row>
    <row r="43" spans="1:28" ht="23.25" customHeight="1" x14ac:dyDescent="0.25">
      <c r="A43" s="93"/>
      <c r="B43" s="93"/>
      <c r="C43" s="93"/>
      <c r="D43" s="93"/>
      <c r="E43" s="93"/>
      <c r="F43" s="93"/>
      <c r="G43" s="93"/>
      <c r="H43" s="93"/>
      <c r="I43" s="93"/>
      <c r="J43" s="93"/>
      <c r="K43" s="93"/>
      <c r="L43" s="93"/>
      <c r="M43" s="93"/>
      <c r="N43" s="93"/>
      <c r="O43" s="93"/>
      <c r="P43" s="93"/>
      <c r="Q43" s="93"/>
      <c r="R43" s="93"/>
      <c r="S43" s="93"/>
      <c r="T43" s="93"/>
      <c r="U43" s="93"/>
      <c r="V43" s="93"/>
      <c r="W43" s="51"/>
      <c r="X43" s="51"/>
    </row>
    <row r="44" spans="1:28" ht="11.25" customHeight="1" x14ac:dyDescent="0.25">
      <c r="A44" s="9"/>
      <c r="B44" s="9"/>
      <c r="C44" s="9"/>
      <c r="D44" s="9"/>
      <c r="E44" s="9"/>
      <c r="F44" s="9"/>
      <c r="G44" s="9"/>
      <c r="H44" s="9"/>
      <c r="I44" s="9"/>
      <c r="J44" s="9"/>
      <c r="K44" s="9"/>
      <c r="L44" s="9"/>
      <c r="M44" s="9"/>
      <c r="N44" s="9"/>
      <c r="O44" s="9"/>
      <c r="P44" s="9"/>
      <c r="Q44" s="9"/>
      <c r="R44" s="9"/>
      <c r="S44" s="9"/>
      <c r="T44" s="9"/>
      <c r="U44" s="9"/>
      <c r="V44" s="9"/>
      <c r="W44" s="9"/>
      <c r="X44" s="9"/>
      <c r="AB44" s="7" t="s">
        <v>76</v>
      </c>
    </row>
    <row r="45" spans="1:28" ht="15" customHeight="1" x14ac:dyDescent="0.25">
      <c r="A45" s="52" t="s">
        <v>82</v>
      </c>
      <c r="B45" s="53"/>
      <c r="C45" s="9"/>
      <c r="D45" s="9"/>
      <c r="E45" s="9"/>
      <c r="F45" s="9"/>
      <c r="G45" s="9"/>
      <c r="H45" s="9"/>
      <c r="I45" s="9"/>
      <c r="J45" s="9"/>
      <c r="K45" s="9"/>
      <c r="L45" s="9"/>
      <c r="M45" s="9"/>
      <c r="N45" s="9"/>
      <c r="O45" s="9"/>
      <c r="P45" s="9"/>
      <c r="Q45" s="9"/>
      <c r="R45" s="9"/>
      <c r="S45" s="9"/>
      <c r="T45" s="9"/>
      <c r="U45" s="9"/>
      <c r="V45" s="9"/>
      <c r="W45" s="9"/>
      <c r="X45" s="9"/>
    </row>
    <row r="46" spans="1:28" ht="12.75" customHeight="1" x14ac:dyDescent="0.25">
      <c r="A46" s="9"/>
      <c r="B46" s="9"/>
      <c r="C46" s="9"/>
      <c r="D46" s="94" t="s">
        <v>13</v>
      </c>
      <c r="E46" s="94"/>
      <c r="F46" s="94">
        <v>2400</v>
      </c>
      <c r="G46" s="94"/>
      <c r="H46" s="94">
        <v>2500</v>
      </c>
      <c r="I46" s="94"/>
      <c r="J46" s="9"/>
      <c r="K46" s="9"/>
      <c r="L46" s="9"/>
      <c r="M46" s="9"/>
      <c r="N46" s="9"/>
      <c r="O46" s="9"/>
      <c r="P46" s="9"/>
      <c r="Q46" s="9"/>
      <c r="R46" s="54" t="s">
        <v>43</v>
      </c>
      <c r="S46" s="54"/>
      <c r="T46" s="54"/>
      <c r="U46" s="54"/>
      <c r="V46" s="54"/>
      <c r="W46" s="54"/>
      <c r="X46" s="54"/>
    </row>
    <row r="47" spans="1:28" ht="12.75" customHeight="1" x14ac:dyDescent="0.25">
      <c r="A47" s="9"/>
      <c r="B47" s="9"/>
      <c r="C47" s="9"/>
      <c r="D47" s="89">
        <v>2000</v>
      </c>
      <c r="E47" s="89"/>
      <c r="F47" s="90">
        <v>942</v>
      </c>
      <c r="G47" s="90"/>
      <c r="H47" s="90">
        <v>968</v>
      </c>
      <c r="I47" s="90"/>
      <c r="J47" s="9"/>
      <c r="K47" s="9"/>
      <c r="L47" s="9"/>
      <c r="M47" s="9"/>
      <c r="N47" s="9"/>
      <c r="O47" s="9"/>
      <c r="P47" s="9"/>
      <c r="Q47" s="9"/>
      <c r="R47" s="8" t="s">
        <v>44</v>
      </c>
      <c r="S47" s="8"/>
      <c r="T47" s="8"/>
      <c r="U47" s="8"/>
      <c r="V47" s="8"/>
      <c r="W47" s="8"/>
      <c r="X47" s="55" t="s">
        <v>45</v>
      </c>
    </row>
    <row r="48" spans="1:28" ht="12.75" customHeight="1" x14ac:dyDescent="0.25">
      <c r="A48" s="9"/>
      <c r="B48" s="9"/>
      <c r="C48" s="9"/>
      <c r="D48" s="89">
        <f>D47+100</f>
        <v>2100</v>
      </c>
      <c r="E48" s="89"/>
      <c r="F48" s="90">
        <v>968</v>
      </c>
      <c r="G48" s="90"/>
      <c r="H48" s="90">
        <v>979</v>
      </c>
      <c r="I48" s="90"/>
      <c r="J48" s="9"/>
      <c r="K48" s="9"/>
      <c r="L48" s="9"/>
      <c r="M48" s="9"/>
      <c r="N48" s="9"/>
      <c r="O48" s="9"/>
      <c r="P48" s="9"/>
      <c r="Q48" s="9"/>
      <c r="R48" s="8" t="s">
        <v>8</v>
      </c>
      <c r="S48" s="8"/>
      <c r="T48" s="8"/>
      <c r="U48" s="8"/>
      <c r="V48" s="8"/>
      <c r="W48" s="8"/>
      <c r="X48" s="55" t="s">
        <v>45</v>
      </c>
    </row>
    <row r="49" spans="1:24" ht="12.75" customHeight="1" x14ac:dyDescent="0.25">
      <c r="A49" s="9"/>
      <c r="B49" s="9"/>
      <c r="C49" s="9"/>
      <c r="D49" s="9"/>
      <c r="E49" s="9"/>
      <c r="F49" s="91"/>
      <c r="G49" s="91"/>
      <c r="H49" s="91"/>
      <c r="I49" s="91"/>
      <c r="J49" s="9"/>
      <c r="K49" s="9"/>
      <c r="L49" s="9"/>
      <c r="M49" s="9"/>
      <c r="N49" s="9"/>
      <c r="O49" s="9"/>
      <c r="P49" s="9"/>
      <c r="Q49" s="9"/>
      <c r="R49" s="9"/>
      <c r="S49" s="9"/>
      <c r="T49" s="9"/>
      <c r="U49" s="9"/>
      <c r="V49" s="9"/>
      <c r="W49" s="9"/>
      <c r="X49" s="9"/>
    </row>
    <row r="50" spans="1:24" ht="12.75" customHeight="1" x14ac:dyDescent="0.25">
      <c r="A50" s="9"/>
      <c r="B50" s="9"/>
      <c r="C50" s="9"/>
      <c r="D50" s="9"/>
      <c r="E50" s="9"/>
      <c r="F50" s="9"/>
      <c r="G50" s="9"/>
      <c r="H50" s="9"/>
      <c r="I50" s="9"/>
      <c r="J50" s="9"/>
      <c r="K50" s="9"/>
      <c r="L50" s="9"/>
      <c r="M50" s="9"/>
      <c r="N50" s="9"/>
      <c r="O50" s="9"/>
      <c r="P50" s="9"/>
      <c r="Q50" s="9"/>
      <c r="R50" s="9"/>
      <c r="S50" s="9"/>
      <c r="T50" s="9"/>
      <c r="U50" s="9"/>
      <c r="V50" s="9"/>
      <c r="W50" s="9"/>
      <c r="X50" s="9"/>
    </row>
    <row r="51" spans="1:24" ht="10.5" customHeight="1" x14ac:dyDescent="0.25">
      <c r="A51" s="9"/>
      <c r="B51" s="9"/>
      <c r="C51" s="9"/>
      <c r="D51" s="9"/>
      <c r="E51" s="9"/>
      <c r="F51" s="9"/>
      <c r="G51" s="9"/>
      <c r="H51" s="9"/>
      <c r="I51" s="9"/>
      <c r="J51" s="9"/>
      <c r="K51" s="9"/>
      <c r="L51" s="9"/>
      <c r="M51" s="9"/>
      <c r="N51" s="9"/>
      <c r="O51" s="9"/>
      <c r="P51" s="9"/>
      <c r="Q51" s="9"/>
      <c r="R51" s="9"/>
      <c r="S51" s="9"/>
      <c r="T51" s="9"/>
      <c r="U51" s="9"/>
      <c r="V51" s="9"/>
      <c r="W51" s="9"/>
      <c r="X51" s="9"/>
    </row>
    <row r="52" spans="1:24" ht="12.75" customHeight="1" x14ac:dyDescent="0.25">
      <c r="A52" s="53" t="s">
        <v>67</v>
      </c>
      <c r="B52" s="9"/>
      <c r="C52" s="9"/>
      <c r="D52" s="9"/>
      <c r="E52" s="9"/>
      <c r="F52" s="9"/>
      <c r="G52" s="9"/>
      <c r="H52" s="9"/>
      <c r="I52" s="9"/>
      <c r="J52" s="9"/>
      <c r="K52" s="9"/>
      <c r="L52" s="9"/>
      <c r="M52" s="9"/>
      <c r="N52" s="9"/>
      <c r="O52" s="9"/>
      <c r="P52" s="9"/>
      <c r="Q52" s="9"/>
      <c r="R52" s="9"/>
      <c r="S52" s="9"/>
      <c r="T52" s="9"/>
      <c r="U52" s="9"/>
      <c r="V52" s="9"/>
      <c r="W52" s="9"/>
      <c r="X52" s="9"/>
    </row>
    <row r="53" spans="1:24" ht="12.75" customHeight="1" x14ac:dyDescent="0.25"/>
  </sheetData>
  <sheetProtection algorithmName="SHA-512" hashValue="uQhDxdknMAMQTtQs7rKey/DvcUi0hSlRY68s0bXlwJF8aKz9Dj6JwTvGQ+gl5UVHX4kPRyinA2Z5D6wk+cUfCw==" saltValue="H+g9zDpZL1uj5Z7BapVZig==" spinCount="100000" sheet="1" objects="1" scenarios="1" selectLockedCells="1" selectUnlockedCells="1"/>
  <mergeCells count="18">
    <mergeCell ref="D48:E48"/>
    <mergeCell ref="F48:G48"/>
    <mergeCell ref="H48:I48"/>
    <mergeCell ref="F49:I49"/>
    <mergeCell ref="A41:U41"/>
    <mergeCell ref="A42:V43"/>
    <mergeCell ref="D46:E46"/>
    <mergeCell ref="F46:G46"/>
    <mergeCell ref="H46:I46"/>
    <mergeCell ref="D47:E47"/>
    <mergeCell ref="F47:G47"/>
    <mergeCell ref="H47:I47"/>
    <mergeCell ref="A40:U40"/>
    <mergeCell ref="A1:X1"/>
    <mergeCell ref="A10:X10"/>
    <mergeCell ref="J25:X26"/>
    <mergeCell ref="K29:X30"/>
    <mergeCell ref="K31:X32"/>
  </mergeCells>
  <conditionalFormatting sqref="F47:F48 H47:H48">
    <cfRule type="expression" dxfId="7" priority="1">
      <formula>MOD(ROW(),2)=0</formula>
    </cfRule>
  </conditionalFormatting>
  <printOptions horizontalCentered="1"/>
  <pageMargins left="0.31496062992125984" right="0.31496062992125984"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9C4A-4EA9-4F30-98EB-9BAE924C79CA}">
  <sheetPr codeName="Feuil2">
    <pageSetUpPr fitToPage="1"/>
  </sheetPr>
  <dimension ref="A1:AW92"/>
  <sheetViews>
    <sheetView view="pageBreakPreview" topLeftCell="A36" zoomScale="115" zoomScaleNormal="100" zoomScaleSheetLayoutView="115" workbookViewId="0">
      <selection activeCell="M56" sqref="M56"/>
    </sheetView>
  </sheetViews>
  <sheetFormatPr baseColWidth="10" defaultRowHeight="15" x14ac:dyDescent="0.25"/>
  <cols>
    <col min="1" max="1" width="5.140625" style="7" customWidth="1"/>
    <col min="2" max="7" width="4" style="7" customWidth="1"/>
    <col min="8" max="8" width="5.140625" style="7" customWidth="1"/>
    <col min="9" max="24" width="4" style="7" customWidth="1"/>
    <col min="25" max="26" width="11.42578125" style="7"/>
    <col min="27" max="49" width="7" style="7" bestFit="1" customWidth="1"/>
    <col min="50" max="16384" width="11.42578125" style="7"/>
  </cols>
  <sheetData>
    <row r="1" spans="1:24" ht="19.5" customHeight="1" x14ac:dyDescent="0.35">
      <c r="A1" s="46" t="s">
        <v>121</v>
      </c>
      <c r="B1" s="47"/>
      <c r="C1" s="47"/>
      <c r="D1" s="47"/>
      <c r="E1" s="47"/>
      <c r="F1" s="47"/>
      <c r="G1" s="47"/>
      <c r="H1" s="47"/>
      <c r="I1" s="47"/>
      <c r="J1" s="47"/>
      <c r="K1" s="47"/>
      <c r="L1" s="47"/>
      <c r="M1" s="47"/>
      <c r="N1" s="47"/>
      <c r="O1" s="47"/>
      <c r="P1" s="47"/>
      <c r="Q1" s="47"/>
      <c r="R1" s="47"/>
      <c r="S1" s="47"/>
      <c r="T1" s="47"/>
      <c r="U1" s="47"/>
      <c r="V1" s="47"/>
      <c r="W1" s="47"/>
      <c r="X1" s="48" t="s">
        <v>20</v>
      </c>
    </row>
    <row r="2" spans="1:24" ht="11.25" customHeight="1" x14ac:dyDescent="0.25">
      <c r="A2" s="9"/>
      <c r="B2" s="9"/>
      <c r="C2" s="9"/>
      <c r="D2" s="9"/>
      <c r="E2" s="9"/>
      <c r="F2" s="9"/>
      <c r="G2" s="9"/>
      <c r="H2" s="9"/>
      <c r="I2" s="9"/>
      <c r="J2" s="9"/>
      <c r="K2" s="9"/>
      <c r="L2" s="9"/>
      <c r="M2" s="9"/>
      <c r="N2" s="9"/>
      <c r="O2" s="9"/>
      <c r="P2" s="9"/>
      <c r="Q2" s="9"/>
      <c r="R2" s="9"/>
      <c r="S2" s="9"/>
      <c r="T2" s="9"/>
      <c r="U2" s="9"/>
      <c r="V2" s="9"/>
      <c r="W2" s="9"/>
      <c r="X2" s="9"/>
    </row>
    <row r="3" spans="1:24" ht="12.75" customHeight="1" x14ac:dyDescent="0.25">
      <c r="A3" s="9"/>
      <c r="B3" s="9"/>
      <c r="C3" s="9"/>
      <c r="D3" s="9"/>
      <c r="E3" s="9"/>
      <c r="F3" s="9"/>
      <c r="G3" s="9"/>
      <c r="H3" s="9"/>
      <c r="I3" s="9"/>
      <c r="J3" s="9"/>
      <c r="K3" s="9"/>
      <c r="L3" s="9"/>
      <c r="M3" s="9"/>
      <c r="N3" s="9"/>
      <c r="O3" s="9"/>
      <c r="P3" s="9"/>
      <c r="Q3" s="9"/>
      <c r="R3" s="9"/>
      <c r="S3" s="9"/>
      <c r="T3" s="9"/>
      <c r="U3" s="9"/>
      <c r="V3" s="9"/>
      <c r="W3" s="9"/>
      <c r="X3" s="9"/>
    </row>
    <row r="4" spans="1:24" ht="12.75" customHeight="1" x14ac:dyDescent="0.25">
      <c r="A4" s="9"/>
      <c r="B4" s="9"/>
      <c r="C4" s="9"/>
      <c r="D4" s="9"/>
      <c r="E4" s="9"/>
      <c r="F4" s="9"/>
      <c r="G4" s="9"/>
      <c r="H4" s="9"/>
      <c r="I4" s="9"/>
      <c r="J4" s="9"/>
      <c r="K4" s="9"/>
      <c r="L4" s="9"/>
      <c r="M4" s="9"/>
      <c r="N4" s="9"/>
      <c r="O4" s="9"/>
      <c r="P4" s="9"/>
      <c r="Q4" s="9"/>
      <c r="R4" s="9"/>
      <c r="S4" s="9"/>
      <c r="T4" s="9"/>
      <c r="U4" s="9"/>
      <c r="V4" s="9"/>
      <c r="W4" s="9"/>
      <c r="X4" s="9"/>
    </row>
    <row r="5" spans="1:24" ht="12.75" customHeight="1" x14ac:dyDescent="0.25">
      <c r="A5" s="9"/>
      <c r="B5" s="9"/>
      <c r="C5" s="9"/>
      <c r="D5" s="9"/>
      <c r="E5" s="9"/>
      <c r="F5" s="9"/>
      <c r="G5" s="9"/>
      <c r="H5" s="9"/>
      <c r="I5" s="9"/>
      <c r="J5" s="9"/>
      <c r="K5" s="9"/>
      <c r="L5" s="9"/>
      <c r="M5" s="9"/>
      <c r="N5" s="9"/>
      <c r="O5" s="9"/>
      <c r="P5" s="9"/>
      <c r="Q5" s="9"/>
      <c r="R5" s="9"/>
      <c r="S5" s="9"/>
      <c r="T5" s="9"/>
      <c r="U5" s="9"/>
      <c r="V5" s="9"/>
      <c r="W5" s="9"/>
      <c r="X5" s="9"/>
    </row>
    <row r="6" spans="1:24" ht="12.75" customHeight="1" x14ac:dyDescent="0.25">
      <c r="A6" s="9"/>
      <c r="B6" s="9"/>
      <c r="C6" s="9"/>
      <c r="D6" s="9"/>
      <c r="E6" s="9"/>
      <c r="F6" s="9"/>
      <c r="G6" s="9"/>
      <c r="H6" s="9"/>
      <c r="I6" s="9"/>
      <c r="J6" s="9"/>
      <c r="K6" s="9"/>
      <c r="L6" s="9"/>
      <c r="M6" s="9"/>
      <c r="N6" s="9"/>
      <c r="O6" s="9"/>
      <c r="P6" s="9"/>
      <c r="Q6" s="9"/>
      <c r="R6" s="9"/>
      <c r="S6" s="9"/>
      <c r="T6" s="9"/>
      <c r="U6" s="9"/>
      <c r="V6" s="9"/>
      <c r="W6" s="9"/>
      <c r="X6" s="9"/>
    </row>
    <row r="7" spans="1:24" ht="12.75" customHeight="1" x14ac:dyDescent="0.25">
      <c r="A7" s="9"/>
      <c r="B7" s="9"/>
      <c r="C7" s="9"/>
      <c r="D7" s="9"/>
      <c r="E7" s="9"/>
      <c r="F7" s="9"/>
      <c r="G7" s="9"/>
      <c r="H7" s="9"/>
      <c r="I7" s="9"/>
      <c r="J7" s="9"/>
      <c r="K7" s="9"/>
      <c r="L7" s="9"/>
      <c r="M7" s="9"/>
      <c r="N7" s="9"/>
      <c r="O7" s="9"/>
      <c r="P7" s="9"/>
      <c r="Q7" s="9"/>
      <c r="R7" s="9"/>
      <c r="S7" s="9"/>
      <c r="T7" s="9"/>
      <c r="U7" s="9"/>
      <c r="V7" s="9"/>
      <c r="W7" s="9"/>
      <c r="X7" s="9"/>
    </row>
    <row r="8" spans="1:24" ht="12.75" customHeight="1" x14ac:dyDescent="0.25">
      <c r="A8" s="9"/>
      <c r="B8" s="9"/>
      <c r="C8" s="9"/>
      <c r="D8" s="9"/>
      <c r="E8" s="9"/>
      <c r="F8" s="9"/>
      <c r="G8" s="9"/>
      <c r="H8" s="9"/>
      <c r="I8" s="9"/>
      <c r="J8" s="9"/>
      <c r="K8" s="9"/>
      <c r="L8" s="9"/>
      <c r="M8" s="9"/>
      <c r="N8" s="9"/>
      <c r="O8" s="9"/>
      <c r="P8" s="9"/>
      <c r="Q8" s="9"/>
      <c r="R8" s="9"/>
      <c r="S8" s="9"/>
      <c r="T8" s="9"/>
      <c r="U8" s="9"/>
      <c r="V8" s="9"/>
      <c r="W8" s="9"/>
      <c r="X8" s="9"/>
    </row>
    <row r="9" spans="1:24" ht="6.75" customHeight="1" x14ac:dyDescent="0.25">
      <c r="A9" s="9"/>
      <c r="B9" s="9"/>
      <c r="C9" s="9"/>
      <c r="D9" s="9"/>
      <c r="E9" s="9"/>
      <c r="F9" s="9"/>
      <c r="G9" s="9"/>
      <c r="H9" s="9"/>
      <c r="I9" s="9"/>
      <c r="J9" s="9"/>
      <c r="K9" s="9"/>
      <c r="L9" s="9"/>
      <c r="M9" s="9"/>
      <c r="N9" s="9"/>
      <c r="O9" s="9"/>
      <c r="P9" s="9"/>
      <c r="Q9" s="9"/>
      <c r="R9" s="9"/>
      <c r="S9" s="9"/>
      <c r="T9" s="9"/>
      <c r="U9" s="9"/>
      <c r="V9" s="9"/>
      <c r="W9" s="9"/>
      <c r="X9" s="9"/>
    </row>
    <row r="10" spans="1:24" ht="19.5" customHeight="1" x14ac:dyDescent="0.3">
      <c r="A10" s="60" t="s">
        <v>33</v>
      </c>
      <c r="B10" s="61"/>
      <c r="C10" s="61"/>
      <c r="D10" s="61"/>
      <c r="E10" s="61"/>
      <c r="F10" s="61"/>
      <c r="G10" s="61"/>
      <c r="H10" s="61"/>
      <c r="I10" s="61"/>
      <c r="J10" s="61"/>
      <c r="K10" s="61"/>
      <c r="L10" s="61"/>
      <c r="M10" s="61"/>
      <c r="N10" s="61"/>
      <c r="O10" s="61"/>
      <c r="P10" s="61"/>
      <c r="Q10" s="61"/>
      <c r="R10" s="61"/>
      <c r="S10" s="61"/>
      <c r="T10" s="61"/>
      <c r="U10" s="61"/>
      <c r="V10" s="61"/>
      <c r="W10" s="61"/>
      <c r="X10" s="61"/>
    </row>
    <row r="11" spans="1:24" ht="21" customHeight="1" x14ac:dyDescent="0.25">
      <c r="A11" s="95" t="s">
        <v>89</v>
      </c>
      <c r="B11" s="95"/>
      <c r="C11" s="95"/>
      <c r="D11" s="95"/>
      <c r="E11" s="95"/>
      <c r="F11" s="95"/>
      <c r="G11" s="95"/>
      <c r="H11" s="95"/>
      <c r="I11" s="95"/>
      <c r="J11" s="95"/>
      <c r="K11" s="95"/>
      <c r="L11" s="95"/>
      <c r="M11" s="95"/>
      <c r="N11" s="95"/>
      <c r="O11" s="95"/>
      <c r="P11" s="95"/>
      <c r="Q11" s="95"/>
      <c r="R11" s="95"/>
      <c r="S11" s="95"/>
      <c r="T11" s="95"/>
      <c r="U11" s="95"/>
      <c r="V11" s="95"/>
      <c r="W11" s="51"/>
      <c r="X11" s="51"/>
    </row>
    <row r="12" spans="1:24" ht="21" customHeight="1" x14ac:dyDescent="0.25">
      <c r="A12" s="95"/>
      <c r="B12" s="95"/>
      <c r="C12" s="95"/>
      <c r="D12" s="95"/>
      <c r="E12" s="95"/>
      <c r="F12" s="95"/>
      <c r="G12" s="95"/>
      <c r="H12" s="95"/>
      <c r="I12" s="95"/>
      <c r="J12" s="95"/>
      <c r="K12" s="95"/>
      <c r="L12" s="95"/>
      <c r="M12" s="95"/>
      <c r="N12" s="95"/>
      <c r="O12" s="95"/>
      <c r="P12" s="95"/>
      <c r="Q12" s="95"/>
      <c r="R12" s="95"/>
      <c r="S12" s="95"/>
      <c r="T12" s="95"/>
      <c r="U12" s="95"/>
      <c r="V12" s="95"/>
      <c r="W12" s="51"/>
      <c r="X12" s="51"/>
    </row>
    <row r="13" spans="1:24" ht="4.5" customHeight="1" x14ac:dyDescent="0.25">
      <c r="A13" s="9"/>
      <c r="B13" s="9"/>
      <c r="C13" s="9"/>
      <c r="D13" s="9"/>
      <c r="E13" s="9"/>
      <c r="F13" s="9"/>
      <c r="G13" s="9"/>
      <c r="H13" s="9"/>
      <c r="I13" s="9"/>
      <c r="J13" s="9"/>
      <c r="K13" s="9"/>
      <c r="L13" s="9"/>
      <c r="M13" s="9"/>
      <c r="N13" s="9"/>
      <c r="O13" s="9"/>
      <c r="P13" s="9"/>
      <c r="Q13" s="9"/>
      <c r="R13" s="9"/>
      <c r="S13" s="9"/>
      <c r="T13" s="9"/>
      <c r="U13" s="9"/>
      <c r="V13" s="9"/>
      <c r="W13" s="9"/>
      <c r="X13" s="9"/>
    </row>
    <row r="14" spans="1:24" x14ac:dyDescent="0.25">
      <c r="A14" s="52" t="s">
        <v>83</v>
      </c>
      <c r="B14" s="9"/>
      <c r="C14" s="9"/>
      <c r="D14" s="9"/>
      <c r="E14" s="9"/>
      <c r="F14" s="9"/>
      <c r="G14" s="9"/>
      <c r="H14" s="9"/>
      <c r="I14" s="9"/>
      <c r="J14" s="9"/>
      <c r="K14" s="9"/>
      <c r="L14" s="9"/>
      <c r="M14" s="9"/>
      <c r="N14" s="9"/>
      <c r="O14" s="9"/>
      <c r="P14" s="9"/>
      <c r="Q14" s="9"/>
      <c r="R14" s="9"/>
      <c r="S14" s="9"/>
      <c r="T14" s="9"/>
      <c r="U14" s="9"/>
      <c r="V14" s="9"/>
      <c r="W14" s="9"/>
      <c r="X14" s="9"/>
    </row>
    <row r="15" spans="1:24" ht="11.25" customHeight="1" x14ac:dyDescent="0.25">
      <c r="A15" s="8" t="s">
        <v>15</v>
      </c>
      <c r="B15" s="53"/>
      <c r="C15" s="9"/>
      <c r="D15" s="9"/>
      <c r="E15" s="9"/>
      <c r="F15" s="9"/>
      <c r="G15" s="9"/>
      <c r="H15" s="9"/>
      <c r="I15" s="9"/>
      <c r="J15" s="9"/>
      <c r="K15" s="9"/>
      <c r="L15" s="9"/>
      <c r="M15" s="9"/>
      <c r="N15" s="9"/>
      <c r="O15" s="9"/>
      <c r="P15" s="9"/>
      <c r="Q15" s="9"/>
      <c r="R15" s="9"/>
      <c r="S15" s="9"/>
      <c r="T15" s="9"/>
      <c r="U15" s="9"/>
      <c r="V15" s="9"/>
      <c r="W15" s="9"/>
      <c r="X15" s="9"/>
    </row>
    <row r="16" spans="1:24" ht="11.25" customHeight="1" x14ac:dyDescent="0.25">
      <c r="A16" s="62" t="s">
        <v>13</v>
      </c>
      <c r="B16" s="62">
        <v>1800</v>
      </c>
      <c r="C16" s="62">
        <f>B16+100</f>
        <v>1900</v>
      </c>
      <c r="D16" s="62">
        <f t="shared" ref="D16" si="0">C16+100</f>
        <v>2000</v>
      </c>
      <c r="E16" s="62">
        <f t="shared" ref="E16" si="1">D16+100</f>
        <v>2100</v>
      </c>
      <c r="F16" s="62">
        <f t="shared" ref="F16" si="2">E16+100</f>
        <v>2200</v>
      </c>
      <c r="G16" s="62">
        <f t="shared" ref="G16" si="3">F16+100</f>
        <v>2300</v>
      </c>
      <c r="H16" s="62">
        <f t="shared" ref="H16" si="4">G16+100</f>
        <v>2400</v>
      </c>
      <c r="I16" s="62">
        <f t="shared" ref="I16" si="5">H16+100</f>
        <v>2500</v>
      </c>
      <c r="J16" s="62">
        <f t="shared" ref="J16" si="6">I16+100</f>
        <v>2600</v>
      </c>
      <c r="K16" s="62">
        <f t="shared" ref="K16" si="7">J16+100</f>
        <v>2700</v>
      </c>
      <c r="L16" s="62">
        <f t="shared" ref="L16" si="8">K16+100</f>
        <v>2800</v>
      </c>
      <c r="M16" s="62">
        <f t="shared" ref="M16" si="9">L16+100</f>
        <v>2900</v>
      </c>
      <c r="N16" s="62">
        <f t="shared" ref="N16" si="10">M16+100</f>
        <v>3000</v>
      </c>
      <c r="O16" s="62">
        <f t="shared" ref="O16" si="11">N16+100</f>
        <v>3100</v>
      </c>
      <c r="P16" s="62">
        <f t="shared" ref="P16" si="12">O16+100</f>
        <v>3200</v>
      </c>
      <c r="Q16" s="62">
        <f t="shared" ref="Q16" si="13">P16+100</f>
        <v>3300</v>
      </c>
      <c r="R16" s="62">
        <f t="shared" ref="R16" si="14">Q16+100</f>
        <v>3400</v>
      </c>
      <c r="S16" s="62">
        <f t="shared" ref="S16" si="15">R16+100</f>
        <v>3500</v>
      </c>
      <c r="T16" s="62">
        <f t="shared" ref="T16" si="16">S16+100</f>
        <v>3600</v>
      </c>
      <c r="U16" s="62">
        <f t="shared" ref="U16" si="17">T16+100</f>
        <v>3700</v>
      </c>
      <c r="V16" s="62">
        <f t="shared" ref="V16" si="18">U16+100</f>
        <v>3800</v>
      </c>
      <c r="W16" s="62">
        <f t="shared" ref="W16" si="19">V16+100</f>
        <v>3900</v>
      </c>
      <c r="X16" s="62">
        <f t="shared" ref="X16" si="20">W16+100</f>
        <v>4000</v>
      </c>
    </row>
    <row r="17" spans="1:49" ht="11.25" customHeight="1" x14ac:dyDescent="0.25">
      <c r="A17" s="64">
        <v>1850</v>
      </c>
      <c r="B17" s="66">
        <f>(1874*(((1-RemiseCoef!$B$4)*RemiseCoef!$B$6)))+(RemiseCoef!forfait)</f>
        <v>1874</v>
      </c>
      <c r="C17" s="66">
        <f>(1904*(((1-RemiseCoef!$B$4)*RemiseCoef!$B$6)))+(RemiseCoef!forfait)</f>
        <v>1904</v>
      </c>
      <c r="D17" s="66">
        <f>(1934*(((1-RemiseCoef!$B$4)*RemiseCoef!$B$6)))+(RemiseCoef!forfait)</f>
        <v>1934</v>
      </c>
      <c r="E17" s="66">
        <f>(1964*(((1-RemiseCoef!$B$4)*RemiseCoef!$B$6)))+(RemiseCoef!forfait)</f>
        <v>1964</v>
      </c>
      <c r="F17" s="66">
        <f>(1993*(((1-RemiseCoef!$B$4)*RemiseCoef!$B$6)))+(RemiseCoef!forfait)</f>
        <v>1993</v>
      </c>
      <c r="G17" s="66">
        <f>(2114*(((1-RemiseCoef!$B$4)*RemiseCoef!$B$6)))+(RemiseCoef!forfait)</f>
        <v>2114</v>
      </c>
      <c r="H17" s="66">
        <f>(2144*(((1-RemiseCoef!$B$4)*RemiseCoef!$B$6)))+(RemiseCoef!forfait)</f>
        <v>2144</v>
      </c>
      <c r="I17" s="66">
        <f>(2173*(((1-RemiseCoef!$B$4)*RemiseCoef!$B$6)))+(RemiseCoef!forfait)</f>
        <v>2173</v>
      </c>
      <c r="J17" s="66">
        <f>(2204*(((1-RemiseCoef!$B$4)*RemiseCoef!$B$6)))+(RemiseCoef!forfait)</f>
        <v>2204</v>
      </c>
      <c r="K17" s="66">
        <f>(2234*(((1-RemiseCoef!$B$4)*RemiseCoef!$B$6)))+(RemiseCoef!forfait)</f>
        <v>2234</v>
      </c>
      <c r="L17" s="66">
        <f>(2264*(((1-RemiseCoef!$B$4)*RemiseCoef!$B$6)))+(RemiseCoef!forfait)</f>
        <v>2264</v>
      </c>
      <c r="M17" s="66">
        <f>(2294*(((1-RemiseCoef!$B$4)*RemiseCoef!$B$6)))+(RemiseCoef!forfait)</f>
        <v>2294</v>
      </c>
      <c r="N17" s="66">
        <f>(2323*(((1-RemiseCoef!$B$4)*RemiseCoef!$B$6)))+(RemiseCoef!forfait)</f>
        <v>2323</v>
      </c>
      <c r="O17" s="66">
        <f>(2373*(((1-RemiseCoef!$B$4)*RemiseCoef!$B$6)))+(RemiseCoef!forfait)</f>
        <v>2373</v>
      </c>
      <c r="P17" s="66">
        <f>(2403*(((1-RemiseCoef!$B$4)*RemiseCoef!$B$6)))+(RemiseCoef!forfait)</f>
        <v>2403</v>
      </c>
      <c r="Q17" s="66">
        <f>(2434*(((1-RemiseCoef!$B$4)*RemiseCoef!$B$6)))+(RemiseCoef!forfait)</f>
        <v>2434</v>
      </c>
      <c r="R17" s="66">
        <f>(2464*(((1-RemiseCoef!$B$4)*RemiseCoef!$B$6)))+(RemiseCoef!forfait)</f>
        <v>2464</v>
      </c>
      <c r="S17" s="66">
        <f>(2495*(((1-RemiseCoef!$B$4)*RemiseCoef!$B$6)))+(RemiseCoef!forfait)</f>
        <v>2495</v>
      </c>
      <c r="T17" s="66">
        <f>(2596*(((1-RemiseCoef!$B$4)*RemiseCoef!$B$6)))+(RemiseCoef!forfait)</f>
        <v>2596</v>
      </c>
      <c r="U17" s="66">
        <f>(2649*(((1-RemiseCoef!$B$4)*RemiseCoef!$B$6)))+(RemiseCoef!forfait)</f>
        <v>2649</v>
      </c>
      <c r="V17" s="66">
        <f>(2682*(((1-RemiseCoef!$B$4)*RemiseCoef!$B$6)))+(RemiseCoef!forfait)</f>
        <v>2682</v>
      </c>
      <c r="W17" s="66">
        <f>(2734*(((1-RemiseCoef!$B$4)*RemiseCoef!$B$6)))+(RemiseCoef!forfait)</f>
        <v>2734</v>
      </c>
      <c r="X17" s="66">
        <f>(2767*(((1-RemiseCoef!$B$4)*RemiseCoef!$B$6)))+(RemiseCoef!forfait)</f>
        <v>2767</v>
      </c>
      <c r="AA17" s="13"/>
      <c r="AB17" s="13"/>
      <c r="AC17" s="13"/>
      <c r="AD17" s="13"/>
      <c r="AE17" s="13"/>
      <c r="AF17" s="13"/>
      <c r="AG17" s="13"/>
      <c r="AH17" s="13"/>
      <c r="AI17" s="13"/>
      <c r="AJ17" s="13"/>
      <c r="AK17" s="13"/>
      <c r="AL17" s="13"/>
      <c r="AM17" s="13"/>
      <c r="AN17" s="13"/>
      <c r="AO17" s="13"/>
      <c r="AP17" s="13"/>
      <c r="AQ17" s="13"/>
      <c r="AR17" s="13"/>
      <c r="AS17" s="13"/>
      <c r="AT17" s="13"/>
      <c r="AU17" s="13"/>
      <c r="AV17" s="13"/>
      <c r="AW17" s="13"/>
    </row>
    <row r="18" spans="1:49" ht="11.25" customHeight="1" x14ac:dyDescent="0.25">
      <c r="A18" s="64">
        <f t="shared" ref="A18:A30" si="21">A17+100</f>
        <v>1950</v>
      </c>
      <c r="B18" s="66">
        <f>(1895*(((1-RemiseCoef!$B$4)*RemiseCoef!$B$6)))+(RemiseCoef!forfait)</f>
        <v>1895</v>
      </c>
      <c r="C18" s="66">
        <f>(1926*(((1-RemiseCoef!$B$4)*RemiseCoef!$B$6)))+(RemiseCoef!forfait)</f>
        <v>1926</v>
      </c>
      <c r="D18" s="66">
        <f>(1959*(((1-RemiseCoef!$B$4)*RemiseCoef!$B$6)))+(RemiseCoef!forfait)</f>
        <v>1959</v>
      </c>
      <c r="E18" s="66">
        <f>(1988*(((1-RemiseCoef!$B$4)*RemiseCoef!$B$6)))+(RemiseCoef!forfait)</f>
        <v>1988</v>
      </c>
      <c r="F18" s="66">
        <f>(2089*(((1-RemiseCoef!$B$4)*RemiseCoef!$B$6)))+(RemiseCoef!forfait)</f>
        <v>2089</v>
      </c>
      <c r="G18" s="66">
        <f>(2140*(((1-RemiseCoef!$B$4)*RemiseCoef!$B$6)))+(RemiseCoef!forfait)</f>
        <v>2140</v>
      </c>
      <c r="H18" s="66">
        <f>(2170*(((1-RemiseCoef!$B$4)*RemiseCoef!$B$6)))+(RemiseCoef!forfait)</f>
        <v>2170</v>
      </c>
      <c r="I18" s="66">
        <f>(2202*(((1-RemiseCoef!$B$4)*RemiseCoef!$B$6)))+(RemiseCoef!forfait)</f>
        <v>2202</v>
      </c>
      <c r="J18" s="66">
        <f>(2231*(((1-RemiseCoef!$B$4)*RemiseCoef!$B$6)))+(RemiseCoef!forfait)</f>
        <v>2231</v>
      </c>
      <c r="K18" s="66">
        <f>(2262*(((1-RemiseCoef!$B$4)*RemiseCoef!$B$6)))+(RemiseCoef!forfait)</f>
        <v>2262</v>
      </c>
      <c r="L18" s="66">
        <f>(2294*(((1-RemiseCoef!$B$4)*RemiseCoef!$B$6)))+(RemiseCoef!forfait)</f>
        <v>2294</v>
      </c>
      <c r="M18" s="66">
        <f>(2324*(((1-RemiseCoef!$B$4)*RemiseCoef!$B$6)))+(RemiseCoef!forfait)</f>
        <v>2324</v>
      </c>
      <c r="N18" s="66">
        <f>(2354*(((1-RemiseCoef!$B$4)*RemiseCoef!$B$6)))+(RemiseCoef!forfait)</f>
        <v>2354</v>
      </c>
      <c r="O18" s="66">
        <f>(2407*(((1-RemiseCoef!$B$4)*RemiseCoef!$B$6)))+(RemiseCoef!forfait)</f>
        <v>2407</v>
      </c>
      <c r="P18" s="66">
        <f>(2438*(((1-RemiseCoef!$B$4)*RemiseCoef!$B$6)))+(RemiseCoef!forfait)</f>
        <v>2438</v>
      </c>
      <c r="Q18" s="66">
        <f>(2467*(((1-RemiseCoef!$B$4)*RemiseCoef!$B$6)))+(RemiseCoef!forfait)</f>
        <v>2467</v>
      </c>
      <c r="R18" s="66">
        <f>(2500*(((1-RemiseCoef!$B$4)*RemiseCoef!$B$6)))+(RemiseCoef!forfait)</f>
        <v>2500</v>
      </c>
      <c r="S18" s="66">
        <f>(2550*(((1-RemiseCoef!$B$4)*RemiseCoef!$B$6)))+(RemiseCoef!forfait)</f>
        <v>2550</v>
      </c>
      <c r="T18" s="66">
        <f>(2657*(((1-RemiseCoef!$B$4)*RemiseCoef!$B$6)))+(RemiseCoef!forfait)</f>
        <v>2657</v>
      </c>
      <c r="U18" s="66">
        <f>(2689*(((1-RemiseCoef!$B$4)*RemiseCoef!$B$6)))+(RemiseCoef!forfait)</f>
        <v>2689</v>
      </c>
      <c r="V18" s="66">
        <f>(2722*(((1-RemiseCoef!$B$4)*RemiseCoef!$B$6)))+(RemiseCoef!forfait)</f>
        <v>2722</v>
      </c>
      <c r="W18" s="66">
        <f>(2774*(((1-RemiseCoef!$B$4)*RemiseCoef!$B$6)))+(RemiseCoef!forfait)</f>
        <v>2774</v>
      </c>
      <c r="X18" s="66">
        <f>(2807*(((1-RemiseCoef!$B$4)*RemiseCoef!$B$6)))+(RemiseCoef!forfait)</f>
        <v>2807</v>
      </c>
      <c r="AA18" s="13"/>
      <c r="AB18" s="13"/>
      <c r="AC18" s="13"/>
      <c r="AD18" s="13"/>
      <c r="AE18" s="13"/>
      <c r="AF18" s="13"/>
      <c r="AG18" s="13"/>
      <c r="AH18" s="13"/>
      <c r="AI18" s="13"/>
      <c r="AJ18" s="13"/>
      <c r="AK18" s="13"/>
      <c r="AL18" s="13"/>
      <c r="AM18" s="13"/>
      <c r="AN18" s="13"/>
      <c r="AO18" s="13"/>
      <c r="AP18" s="13"/>
      <c r="AQ18" s="13"/>
      <c r="AR18" s="13"/>
      <c r="AS18" s="13"/>
      <c r="AT18" s="13"/>
      <c r="AU18" s="13"/>
      <c r="AV18" s="13"/>
      <c r="AW18" s="13"/>
    </row>
    <row r="19" spans="1:49" ht="11.25" customHeight="1" x14ac:dyDescent="0.25">
      <c r="A19" s="64">
        <f t="shared" si="21"/>
        <v>2050</v>
      </c>
      <c r="B19" s="66">
        <f>(1917*(((1-RemiseCoef!$B$4)*RemiseCoef!$B$6)))+(RemiseCoef!forfait)</f>
        <v>1917</v>
      </c>
      <c r="C19" s="66">
        <f>(1949*(((1-RemiseCoef!$B$4)*RemiseCoef!$B$6)))+(RemiseCoef!forfait)</f>
        <v>1949</v>
      </c>
      <c r="D19" s="66">
        <f>(1982*(((1-RemiseCoef!$B$4)*RemiseCoef!$B$6)))+(RemiseCoef!forfait)</f>
        <v>1982</v>
      </c>
      <c r="E19" s="66">
        <f>(2082*(((1-RemiseCoef!$B$4)*RemiseCoef!$B$6)))+(RemiseCoef!forfait)</f>
        <v>2082</v>
      </c>
      <c r="F19" s="66">
        <f>(2114*(((1-RemiseCoef!$B$4)*RemiseCoef!$B$6)))+(RemiseCoef!forfait)</f>
        <v>2114</v>
      </c>
      <c r="G19" s="66">
        <f>(2165*(((1-RemiseCoef!$B$4)*RemiseCoef!$B$6)))+(RemiseCoef!forfait)</f>
        <v>2165</v>
      </c>
      <c r="H19" s="66">
        <f>(2198*(((1-RemiseCoef!$B$4)*RemiseCoef!$B$6)))+(RemiseCoef!forfait)</f>
        <v>2198</v>
      </c>
      <c r="I19" s="66">
        <f>(2229*(((1-RemiseCoef!$B$4)*RemiseCoef!$B$6)))+(RemiseCoef!forfait)</f>
        <v>2229</v>
      </c>
      <c r="J19" s="66">
        <f>(2260*(((1-RemiseCoef!$B$4)*RemiseCoef!$B$6)))+(RemiseCoef!forfait)</f>
        <v>2260</v>
      </c>
      <c r="K19" s="66">
        <f>(2293*(((1-RemiseCoef!$B$4)*RemiseCoef!$B$6)))+(RemiseCoef!forfait)</f>
        <v>2293</v>
      </c>
      <c r="L19" s="66">
        <f>(2323*(((1-RemiseCoef!$B$4)*RemiseCoef!$B$6)))+(RemiseCoef!forfait)</f>
        <v>2323</v>
      </c>
      <c r="M19" s="66">
        <f>(2354*(((1-RemiseCoef!$B$4)*RemiseCoef!$B$6)))+(RemiseCoef!forfait)</f>
        <v>2354</v>
      </c>
      <c r="N19" s="66">
        <f>(2387*(((1-RemiseCoef!$B$4)*RemiseCoef!$B$6)))+(RemiseCoef!forfait)</f>
        <v>2387</v>
      </c>
      <c r="O19" s="66">
        <f>(2439*(((1-RemiseCoef!$B$4)*RemiseCoef!$B$6)))+(RemiseCoef!forfait)</f>
        <v>2439</v>
      </c>
      <c r="P19" s="66">
        <f>(2469*(((1-RemiseCoef!$B$4)*RemiseCoef!$B$6)))+(RemiseCoef!forfait)</f>
        <v>2469</v>
      </c>
      <c r="Q19" s="66">
        <f>(2502*(((1-RemiseCoef!$B$4)*RemiseCoef!$B$6)))+(RemiseCoef!forfait)</f>
        <v>2502</v>
      </c>
      <c r="R19" s="66">
        <f>(2554*(((1-RemiseCoef!$B$4)*RemiseCoef!$B$6)))+(RemiseCoef!forfait)</f>
        <v>2554</v>
      </c>
      <c r="S19" s="66">
        <f>(2586*(((1-RemiseCoef!$B$4)*RemiseCoef!$B$6)))+(RemiseCoef!forfait)</f>
        <v>2586</v>
      </c>
      <c r="T19" s="66">
        <f>(2695*(((1-RemiseCoef!$B$4)*RemiseCoef!$B$6)))+(RemiseCoef!forfait)</f>
        <v>2695</v>
      </c>
      <c r="U19" s="66">
        <f>(2729*(((1-RemiseCoef!$B$4)*RemiseCoef!$B$6)))+(RemiseCoef!forfait)</f>
        <v>2729</v>
      </c>
      <c r="V19" s="66">
        <f>(2763*(((1-RemiseCoef!$B$4)*RemiseCoef!$B$6)))+(RemiseCoef!forfait)</f>
        <v>2763</v>
      </c>
      <c r="W19" s="66">
        <f>(2816*(((1-RemiseCoef!$B$4)*RemiseCoef!$B$6)))+(RemiseCoef!forfait)</f>
        <v>2816</v>
      </c>
      <c r="X19" s="66">
        <f>(2849*(((1-RemiseCoef!$B$4)*RemiseCoef!$B$6)))+(RemiseCoef!forfait)</f>
        <v>2849</v>
      </c>
      <c r="AA19" s="13"/>
      <c r="AB19" s="13"/>
      <c r="AC19" s="13"/>
      <c r="AD19" s="13"/>
      <c r="AE19" s="13"/>
      <c r="AF19" s="13"/>
      <c r="AG19" s="13"/>
      <c r="AH19" s="13"/>
      <c r="AI19" s="13"/>
      <c r="AJ19" s="13"/>
      <c r="AK19" s="13"/>
      <c r="AL19" s="13"/>
      <c r="AM19" s="13"/>
      <c r="AN19" s="13"/>
      <c r="AO19" s="13"/>
      <c r="AP19" s="13"/>
      <c r="AQ19" s="13"/>
      <c r="AR19" s="13"/>
      <c r="AS19" s="13"/>
      <c r="AT19" s="13"/>
      <c r="AU19" s="13"/>
      <c r="AV19" s="13"/>
      <c r="AW19" s="13"/>
    </row>
    <row r="20" spans="1:49" ht="11.25" customHeight="1" x14ac:dyDescent="0.25">
      <c r="A20" s="64">
        <f t="shared" si="21"/>
        <v>2150</v>
      </c>
      <c r="B20" s="66">
        <f>(1940*(((1-RemiseCoef!$B$4)*RemiseCoef!$B$6)))+(RemiseCoef!forfait)</f>
        <v>1940</v>
      </c>
      <c r="C20" s="66">
        <f>(1971*(((1-RemiseCoef!$B$4)*RemiseCoef!$B$6)))+(RemiseCoef!forfait)</f>
        <v>1971</v>
      </c>
      <c r="D20" s="66">
        <f>(2074*(((1-RemiseCoef!$B$4)*RemiseCoef!$B$6)))+(RemiseCoef!forfait)</f>
        <v>2074</v>
      </c>
      <c r="E20" s="66">
        <f>(2108*(((1-RemiseCoef!$B$4)*RemiseCoef!$B$6)))+(RemiseCoef!forfait)</f>
        <v>2108</v>
      </c>
      <c r="F20" s="66">
        <f>(2139*(((1-RemiseCoef!$B$4)*RemiseCoef!$B$6)))+(RemiseCoef!forfait)</f>
        <v>2139</v>
      </c>
      <c r="G20" s="66">
        <f>(2191*(((1-RemiseCoef!$B$4)*RemiseCoef!$B$6)))+(RemiseCoef!forfait)</f>
        <v>2191</v>
      </c>
      <c r="H20" s="66">
        <f>(2224*(((1-RemiseCoef!$B$4)*RemiseCoef!$B$6)))+(RemiseCoef!forfait)</f>
        <v>2224</v>
      </c>
      <c r="I20" s="66">
        <f>(2257*(((1-RemiseCoef!$B$4)*RemiseCoef!$B$6)))+(RemiseCoef!forfait)</f>
        <v>2257</v>
      </c>
      <c r="J20" s="66">
        <f>(2290*(((1-RemiseCoef!$B$4)*RemiseCoef!$B$6)))+(RemiseCoef!forfait)</f>
        <v>2290</v>
      </c>
      <c r="K20" s="66">
        <f>(2321*(((1-RemiseCoef!$B$4)*RemiseCoef!$B$6)))+(RemiseCoef!forfait)</f>
        <v>2321</v>
      </c>
      <c r="L20" s="66">
        <f>(2353*(((1-RemiseCoef!$B$4)*RemiseCoef!$B$6)))+(RemiseCoef!forfait)</f>
        <v>2353</v>
      </c>
      <c r="M20" s="66">
        <f>(2386*(((1-RemiseCoef!$B$4)*RemiseCoef!$B$6)))+(RemiseCoef!forfait)</f>
        <v>2386</v>
      </c>
      <c r="N20" s="66">
        <f>(2418*(((1-RemiseCoef!$B$4)*RemiseCoef!$B$6)))+(RemiseCoef!forfait)</f>
        <v>2418</v>
      </c>
      <c r="O20" s="66">
        <f>(2473*(((1-RemiseCoef!$B$4)*RemiseCoef!$B$6)))+(RemiseCoef!forfait)</f>
        <v>2473</v>
      </c>
      <c r="P20" s="66">
        <f>(2524*(((1-RemiseCoef!$B$4)*RemiseCoef!$B$6)))+(RemiseCoef!forfait)</f>
        <v>2524</v>
      </c>
      <c r="Q20" s="66">
        <f>(2556*(((1-RemiseCoef!$B$4)*RemiseCoef!$B$6)))+(RemiseCoef!forfait)</f>
        <v>2556</v>
      </c>
      <c r="R20" s="66">
        <f>(2589*(((1-RemiseCoef!$B$4)*RemiseCoef!$B$6)))+(RemiseCoef!forfait)</f>
        <v>2589</v>
      </c>
      <c r="S20" s="66">
        <f>(2621*(((1-RemiseCoef!$B$4)*RemiseCoef!$B$6)))+(RemiseCoef!forfait)</f>
        <v>2621</v>
      </c>
      <c r="T20" s="66">
        <f>(2736*(((1-RemiseCoef!$B$4)*RemiseCoef!$B$6)))+(RemiseCoef!forfait)</f>
        <v>2736</v>
      </c>
      <c r="U20" s="66">
        <f>(2770*(((1-RemiseCoef!$B$4)*RemiseCoef!$B$6)))+(RemiseCoef!forfait)</f>
        <v>2770</v>
      </c>
      <c r="V20" s="66">
        <f>(2803*(((1-RemiseCoef!$B$4)*RemiseCoef!$B$6)))+(RemiseCoef!forfait)</f>
        <v>2803</v>
      </c>
      <c r="W20" s="66">
        <f>(2859*(((1-RemiseCoef!$B$4)*RemiseCoef!$B$6)))+(RemiseCoef!forfait)</f>
        <v>2859</v>
      </c>
      <c r="X20" s="66">
        <f>(2892*(((1-RemiseCoef!$B$4)*RemiseCoef!$B$6)))+(RemiseCoef!forfait)</f>
        <v>2892</v>
      </c>
      <c r="AA20" s="13"/>
      <c r="AB20" s="13"/>
      <c r="AC20" s="13"/>
      <c r="AD20" s="13"/>
      <c r="AE20" s="13"/>
      <c r="AF20" s="13"/>
      <c r="AG20" s="13"/>
      <c r="AH20" s="13"/>
      <c r="AI20" s="13"/>
      <c r="AJ20" s="13"/>
      <c r="AK20" s="13"/>
      <c r="AL20" s="13"/>
      <c r="AM20" s="13"/>
      <c r="AN20" s="13"/>
      <c r="AO20" s="13"/>
      <c r="AP20" s="13"/>
      <c r="AQ20" s="13"/>
      <c r="AR20" s="13"/>
      <c r="AS20" s="13"/>
      <c r="AT20" s="13"/>
      <c r="AU20" s="13"/>
      <c r="AV20" s="13"/>
      <c r="AW20" s="13"/>
    </row>
    <row r="21" spans="1:49" ht="11.25" customHeight="1" thickBot="1" x14ac:dyDescent="0.3">
      <c r="A21" s="64">
        <f t="shared" si="21"/>
        <v>2250</v>
      </c>
      <c r="B21" s="66">
        <f>(1978*(((1-RemiseCoef!$B$4)*RemiseCoef!$B$6)))+(RemiseCoef!forfait)</f>
        <v>1978</v>
      </c>
      <c r="C21" s="66">
        <f>(2079*(((1-RemiseCoef!$B$4)*RemiseCoef!$B$6)))+(RemiseCoef!forfait)</f>
        <v>2079</v>
      </c>
      <c r="D21" s="66">
        <f>(2114*(((1-RemiseCoef!$B$4)*RemiseCoef!$B$6)))+(RemiseCoef!forfait)</f>
        <v>2114</v>
      </c>
      <c r="E21" s="66">
        <f>(2148*(((1-RemiseCoef!$B$4)*RemiseCoef!$B$6)))+(RemiseCoef!forfait)</f>
        <v>2148</v>
      </c>
      <c r="F21" s="66">
        <f>(2183*(((1-RemiseCoef!$B$4)*RemiseCoef!$B$6)))+(RemiseCoef!forfait)</f>
        <v>2183</v>
      </c>
      <c r="G21" s="66">
        <f>(2236*(((1-RemiseCoef!$B$4)*RemiseCoef!$B$6)))+(RemiseCoef!forfait)</f>
        <v>2236</v>
      </c>
      <c r="H21" s="66">
        <f>(2272*(((1-RemiseCoef!$B$4)*RemiseCoef!$B$6)))+(RemiseCoef!forfait)</f>
        <v>2272</v>
      </c>
      <c r="I21" s="66">
        <f>(2304*(((1-RemiseCoef!$B$4)*RemiseCoef!$B$6)))+(RemiseCoef!forfait)</f>
        <v>2304</v>
      </c>
      <c r="J21" s="66">
        <f>(2338*(((1-RemiseCoef!$B$4)*RemiseCoef!$B$6)))+(RemiseCoef!forfait)</f>
        <v>2338</v>
      </c>
      <c r="K21" s="66">
        <f>(2372*(((1-RemiseCoef!$B$4)*RemiseCoef!$B$6)))+(RemiseCoef!forfait)</f>
        <v>2372</v>
      </c>
      <c r="L21" s="66">
        <f>(2407*(((1-RemiseCoef!$B$4)*RemiseCoef!$B$6)))+(RemiseCoef!forfait)</f>
        <v>2407</v>
      </c>
      <c r="M21" s="66">
        <f>(2440*(((1-RemiseCoef!$B$4)*RemiseCoef!$B$6)))+(RemiseCoef!forfait)</f>
        <v>2440</v>
      </c>
      <c r="N21" s="66">
        <f>(2475*(((1-RemiseCoef!$B$4)*RemiseCoef!$B$6)))+(RemiseCoef!forfait)</f>
        <v>2475</v>
      </c>
      <c r="O21" s="66">
        <f>(2548*(((1-RemiseCoef!$B$4)*RemiseCoef!$B$6)))+(RemiseCoef!forfait)</f>
        <v>2548</v>
      </c>
      <c r="P21" s="66">
        <f>(2581*(((1-RemiseCoef!$B$4)*RemiseCoef!$B$6)))+(RemiseCoef!forfait)</f>
        <v>2581</v>
      </c>
      <c r="Q21" s="66">
        <f>(2616*(((1-RemiseCoef!$B$4)*RemiseCoef!$B$6)))+(RemiseCoef!forfait)</f>
        <v>2616</v>
      </c>
      <c r="R21" s="66">
        <f>(2649*(((1-RemiseCoef!$B$4)*RemiseCoef!$B$6)))+(RemiseCoef!forfait)</f>
        <v>2649</v>
      </c>
      <c r="S21" s="66">
        <f>(2684*(((1-RemiseCoef!$B$4)*RemiseCoef!$B$6)))+(RemiseCoef!forfait)</f>
        <v>2684</v>
      </c>
      <c r="T21" s="66">
        <f>(2804*(((1-RemiseCoef!$B$4)*RemiseCoef!$B$6)))+(RemiseCoef!forfait)</f>
        <v>2804</v>
      </c>
      <c r="U21" s="66">
        <f>(2842*(((1-RemiseCoef!$B$4)*RemiseCoef!$B$6)))+(RemiseCoef!forfait)</f>
        <v>2842</v>
      </c>
      <c r="V21" s="66">
        <f>(2875*(((1-RemiseCoef!$B$4)*RemiseCoef!$B$6)))+(RemiseCoef!forfait)</f>
        <v>2875</v>
      </c>
      <c r="W21" s="66">
        <f>(2933*(((1-RemiseCoef!$B$4)*RemiseCoef!$B$6)))+(RemiseCoef!forfait)</f>
        <v>2933</v>
      </c>
      <c r="X21" s="66">
        <f>(2971*(((1-RemiseCoef!$B$4)*RemiseCoef!$B$6)))+(RemiseCoef!forfait)</f>
        <v>2971</v>
      </c>
      <c r="AA21" s="13"/>
      <c r="AB21" s="13"/>
      <c r="AC21" s="13"/>
      <c r="AD21" s="13"/>
      <c r="AE21" s="13"/>
      <c r="AF21" s="13"/>
      <c r="AG21" s="13"/>
      <c r="AH21" s="13"/>
      <c r="AI21" s="13"/>
      <c r="AJ21" s="13"/>
      <c r="AK21" s="13"/>
      <c r="AL21" s="13"/>
      <c r="AM21" s="13"/>
      <c r="AN21" s="13"/>
      <c r="AO21" s="13"/>
      <c r="AP21" s="13"/>
      <c r="AQ21" s="13"/>
      <c r="AR21" s="13"/>
      <c r="AS21" s="13"/>
      <c r="AT21" s="13"/>
      <c r="AU21" s="13"/>
      <c r="AV21" s="13"/>
      <c r="AW21" s="13"/>
    </row>
    <row r="22" spans="1:49" ht="11.25" customHeight="1" thickBot="1" x14ac:dyDescent="0.3">
      <c r="A22" s="64">
        <f t="shared" si="21"/>
        <v>2350</v>
      </c>
      <c r="B22" s="66">
        <f>(2069*(((1-RemiseCoef!$B$4)*RemiseCoef!$B$6)))+(RemiseCoef!forfait)</f>
        <v>2069</v>
      </c>
      <c r="C22" s="66">
        <f>(2102*(((1-RemiseCoef!$B$4)*RemiseCoef!$B$6)))+(RemiseCoef!forfait)</f>
        <v>2102</v>
      </c>
      <c r="D22" s="66">
        <f>(2138*(((1-RemiseCoef!$B$4)*RemiseCoef!$B$6)))+(RemiseCoef!forfait)</f>
        <v>2138</v>
      </c>
      <c r="E22" s="66">
        <f>(2172*(((1-RemiseCoef!$B$4)*RemiseCoef!$B$6)))+(RemiseCoef!forfait)</f>
        <v>2172</v>
      </c>
      <c r="F22" s="66">
        <f>(2207*(((1-RemiseCoef!$B$4)*RemiseCoef!$B$6)))+(RemiseCoef!forfait)</f>
        <v>2207</v>
      </c>
      <c r="G22" s="66">
        <f>(2261*(((1-RemiseCoef!$B$4)*RemiseCoef!$B$6)))+(RemiseCoef!forfait)</f>
        <v>2261</v>
      </c>
      <c r="H22" s="66">
        <f>(2297*(((1-RemiseCoef!$B$4)*RemiseCoef!$B$6)))+(RemiseCoef!forfait)</f>
        <v>2297</v>
      </c>
      <c r="I22" s="66">
        <f>(2332*(((1-RemiseCoef!$B$4)*RemiseCoef!$B$6)))+(RemiseCoef!forfait)</f>
        <v>2332</v>
      </c>
      <c r="J22" s="66">
        <f>(2366*(((1-RemiseCoef!$B$4)*RemiseCoef!$B$6)))+(RemiseCoef!forfait)</f>
        <v>2366</v>
      </c>
      <c r="K22" s="66">
        <f>(2401*(((1-RemiseCoef!$B$4)*RemiseCoef!$B$6)))+(RemiseCoef!forfait)</f>
        <v>2401</v>
      </c>
      <c r="L22" s="66">
        <f>(2437*(((1-RemiseCoef!$B$4)*RemiseCoef!$B$6)))+(RemiseCoef!forfait)</f>
        <v>2437</v>
      </c>
      <c r="M22" s="66">
        <f>(2489*(((1-RemiseCoef!$B$4)*RemiseCoef!$B$6)))+(RemiseCoef!forfait)</f>
        <v>2489</v>
      </c>
      <c r="N22" s="66">
        <f>(2526*(((1-RemiseCoef!$B$4)*RemiseCoef!$B$6)))+(RemiseCoef!forfait)</f>
        <v>2526</v>
      </c>
      <c r="O22" s="66">
        <f>(2579*(((1-RemiseCoef!$B$4)*RemiseCoef!$B$6)))+(RemiseCoef!forfait)</f>
        <v>2579</v>
      </c>
      <c r="P22" s="66">
        <f>(2615*(((1-RemiseCoef!$B$4)*RemiseCoef!$B$6)))+(RemiseCoef!forfait)</f>
        <v>2615</v>
      </c>
      <c r="Q22" s="66">
        <f>(2649*(((1-RemiseCoef!$B$4)*RemiseCoef!$B$6)))+(RemiseCoef!forfait)</f>
        <v>2649</v>
      </c>
      <c r="R22" s="66">
        <f>(2684*(((1-RemiseCoef!$B$4)*RemiseCoef!$B$6)))+(RemiseCoef!forfait)</f>
        <v>2684</v>
      </c>
      <c r="S22" s="66">
        <f>(2719*(((1-RemiseCoef!$B$4)*RemiseCoef!$B$6)))+(RemiseCoef!forfait)</f>
        <v>2719</v>
      </c>
      <c r="T22" s="66">
        <f>(2844*(((1-RemiseCoef!$B$4)*RemiseCoef!$B$6)))+(RemiseCoef!forfait)</f>
        <v>2844</v>
      </c>
      <c r="U22" s="66">
        <f>(2882*(((1-RemiseCoef!$B$4)*RemiseCoef!$B$6)))+(RemiseCoef!forfait)</f>
        <v>2882</v>
      </c>
      <c r="V22" s="66">
        <f>(2918*(((1-RemiseCoef!$B$4)*RemiseCoef!$B$6)))+(RemiseCoef!forfait)</f>
        <v>2918</v>
      </c>
      <c r="W22" s="67">
        <f>(2975*(((1-RemiseCoef!$B$4)*RemiseCoef!$B$6)))+(RemiseCoef!forfait)</f>
        <v>2975</v>
      </c>
      <c r="X22" s="68">
        <f>(3011*(((1-RemiseCoef!$B$4)*RemiseCoef!$B$6)))+(RemiseCoef!forfait)</f>
        <v>3011</v>
      </c>
      <c r="AA22" s="13"/>
      <c r="AB22" s="13"/>
      <c r="AC22" s="13"/>
      <c r="AD22" s="13"/>
      <c r="AE22" s="13"/>
      <c r="AF22" s="13"/>
      <c r="AG22" s="13"/>
      <c r="AH22" s="13"/>
      <c r="AI22" s="13"/>
      <c r="AJ22" s="13"/>
      <c r="AK22" s="13"/>
      <c r="AL22" s="13"/>
      <c r="AM22" s="13"/>
      <c r="AN22" s="13"/>
      <c r="AO22" s="13"/>
      <c r="AP22" s="13"/>
      <c r="AQ22" s="13"/>
      <c r="AR22" s="13"/>
      <c r="AS22" s="13"/>
      <c r="AT22" s="13"/>
      <c r="AU22" s="13"/>
      <c r="AV22" s="13"/>
      <c r="AW22" s="13"/>
    </row>
    <row r="23" spans="1:49" ht="11.25" customHeight="1" thickBot="1" x14ac:dyDescent="0.3">
      <c r="A23" s="64">
        <f t="shared" si="21"/>
        <v>2450</v>
      </c>
      <c r="B23" s="66">
        <f>(2091*(((1-RemiseCoef!$B$4)*RemiseCoef!$B$6)))+(RemiseCoef!forfait)</f>
        <v>2091</v>
      </c>
      <c r="C23" s="66">
        <f>(2126*(((1-RemiseCoef!$B$4)*RemiseCoef!$B$6)))+(RemiseCoef!forfait)</f>
        <v>2126</v>
      </c>
      <c r="D23" s="66">
        <f>(2162*(((1-RemiseCoef!$B$4)*RemiseCoef!$B$6)))+(RemiseCoef!forfait)</f>
        <v>2162</v>
      </c>
      <c r="E23" s="66">
        <f>(2198*(((1-RemiseCoef!$B$4)*RemiseCoef!$B$6)))+(RemiseCoef!forfait)</f>
        <v>2198</v>
      </c>
      <c r="F23" s="66">
        <f>(2233*(((1-RemiseCoef!$B$4)*RemiseCoef!$B$6)))+(RemiseCoef!forfait)</f>
        <v>2233</v>
      </c>
      <c r="G23" s="66">
        <f>(2288*(((1-RemiseCoef!$B$4)*RemiseCoef!$B$6)))+(RemiseCoef!forfait)</f>
        <v>2288</v>
      </c>
      <c r="H23" s="66">
        <f>(2323*(((1-RemiseCoef!$B$4)*RemiseCoef!$B$6)))+(RemiseCoef!forfait)</f>
        <v>2323</v>
      </c>
      <c r="I23" s="66">
        <f>(2360*(((1-RemiseCoef!$B$4)*RemiseCoef!$B$6)))+(RemiseCoef!forfait)</f>
        <v>2360</v>
      </c>
      <c r="J23" s="66">
        <f>(2395*(((1-RemiseCoef!$B$4)*RemiseCoef!$B$6)))+(RemiseCoef!forfait)</f>
        <v>2395</v>
      </c>
      <c r="K23" s="66">
        <f>(2430*(((1-RemiseCoef!$B$4)*RemiseCoef!$B$6)))+(RemiseCoef!forfait)</f>
        <v>2430</v>
      </c>
      <c r="L23" s="66">
        <f>(2485*(((1-RemiseCoef!$B$4)*RemiseCoef!$B$6)))+(RemiseCoef!forfait)</f>
        <v>2485</v>
      </c>
      <c r="M23" s="66">
        <f>(2521*(((1-RemiseCoef!$B$4)*RemiseCoef!$B$6)))+(RemiseCoef!forfait)</f>
        <v>2521</v>
      </c>
      <c r="N23" s="66">
        <f>(2557*(((1-RemiseCoef!$B$4)*RemiseCoef!$B$6)))+(RemiseCoef!forfait)</f>
        <v>2557</v>
      </c>
      <c r="O23" s="66">
        <f>(2613*(((1-RemiseCoef!$B$4)*RemiseCoef!$B$6)))+(RemiseCoef!forfait)</f>
        <v>2613</v>
      </c>
      <c r="P23" s="66">
        <f>(2647*(((1-RemiseCoef!$B$4)*RemiseCoef!$B$6)))+(RemiseCoef!forfait)</f>
        <v>2647</v>
      </c>
      <c r="Q23" s="66">
        <f>(2684*(((1-RemiseCoef!$B$4)*RemiseCoef!$B$6)))+(RemiseCoef!forfait)</f>
        <v>2684</v>
      </c>
      <c r="R23" s="66">
        <f>(2719*(((1-RemiseCoef!$B$4)*RemiseCoef!$B$6)))+(RemiseCoef!forfait)</f>
        <v>2719</v>
      </c>
      <c r="S23" s="66">
        <f>(2754*(((1-RemiseCoef!$B$4)*RemiseCoef!$B$6)))+(RemiseCoef!forfait)</f>
        <v>2754</v>
      </c>
      <c r="T23" s="66">
        <f>(2883*(((1-RemiseCoef!$B$4)*RemiseCoef!$B$6)))+(RemiseCoef!forfait)</f>
        <v>2883</v>
      </c>
      <c r="U23" s="67">
        <f>(2920*(((1-RemiseCoef!$B$4)*RemiseCoef!$B$6)))+(RemiseCoef!forfait)</f>
        <v>2920</v>
      </c>
      <c r="V23" s="68">
        <f>(2958*(((1-RemiseCoef!$B$4)*RemiseCoef!$B$6)))+(RemiseCoef!forfait)</f>
        <v>2958</v>
      </c>
      <c r="W23" s="69">
        <f>(3260*(((1-RemiseCoef!$B$4)*RemiseCoef!$B$6)))+(RemiseCoef!forfait)</f>
        <v>3260</v>
      </c>
      <c r="X23" s="66">
        <f>(3299*(((1-RemiseCoef!$B$4)*RemiseCoef!$B$6)))+(RemiseCoef!forfait)</f>
        <v>3299</v>
      </c>
      <c r="AA23" s="13"/>
      <c r="AB23" s="13"/>
      <c r="AC23" s="13"/>
      <c r="AD23" s="13"/>
      <c r="AE23" s="13"/>
      <c r="AF23" s="13"/>
      <c r="AG23" s="13"/>
      <c r="AH23" s="13"/>
      <c r="AI23" s="13"/>
      <c r="AJ23" s="13"/>
      <c r="AK23" s="13"/>
      <c r="AL23" s="13"/>
      <c r="AM23" s="13"/>
      <c r="AN23" s="13"/>
      <c r="AO23" s="13"/>
      <c r="AP23" s="13"/>
      <c r="AQ23" s="13"/>
      <c r="AR23" s="13"/>
      <c r="AS23" s="13"/>
      <c r="AT23" s="13"/>
      <c r="AU23" s="13"/>
      <c r="AV23" s="13"/>
      <c r="AW23" s="13"/>
    </row>
    <row r="24" spans="1:49" ht="11.25" customHeight="1" thickBot="1" x14ac:dyDescent="0.3">
      <c r="A24" s="64">
        <f t="shared" si="21"/>
        <v>2550</v>
      </c>
      <c r="B24" s="66">
        <f>(2127*(((1-RemiseCoef!$B$4)*RemiseCoef!$B$6)))+(RemiseCoef!forfait)</f>
        <v>2127</v>
      </c>
      <c r="C24" s="66">
        <f>(2164*(((1-RemiseCoef!$B$4)*RemiseCoef!$B$6)))+(RemiseCoef!forfait)</f>
        <v>2164</v>
      </c>
      <c r="D24" s="66">
        <f>(2202*(((1-RemiseCoef!$B$4)*RemiseCoef!$B$6)))+(RemiseCoef!forfait)</f>
        <v>2202</v>
      </c>
      <c r="E24" s="66">
        <f>(2238*(((1-RemiseCoef!$B$4)*RemiseCoef!$B$6)))+(RemiseCoef!forfait)</f>
        <v>2238</v>
      </c>
      <c r="F24" s="66">
        <f>(2276*(((1-RemiseCoef!$B$4)*RemiseCoef!$B$6)))+(RemiseCoef!forfait)</f>
        <v>2276</v>
      </c>
      <c r="G24" s="66">
        <f>(2332*(((1-RemiseCoef!$B$4)*RemiseCoef!$B$6)))+(RemiseCoef!forfait)</f>
        <v>2332</v>
      </c>
      <c r="H24" s="66">
        <f>(2370*(((1-RemiseCoef!$B$4)*RemiseCoef!$B$6)))+(RemiseCoef!forfait)</f>
        <v>2370</v>
      </c>
      <c r="I24" s="66">
        <f>(2407*(((1-RemiseCoef!$B$4)*RemiseCoef!$B$6)))+(RemiseCoef!forfait)</f>
        <v>2407</v>
      </c>
      <c r="J24" s="66">
        <f>(2443*(((1-RemiseCoef!$B$4)*RemiseCoef!$B$6)))+(RemiseCoef!forfait)</f>
        <v>2443</v>
      </c>
      <c r="K24" s="66">
        <f>(2501*(((1-RemiseCoef!$B$4)*RemiseCoef!$B$6)))+(RemiseCoef!forfait)</f>
        <v>2501</v>
      </c>
      <c r="L24" s="66">
        <f>(2537*(((1-RemiseCoef!$B$4)*RemiseCoef!$B$6)))+(RemiseCoef!forfait)</f>
        <v>2537</v>
      </c>
      <c r="M24" s="66">
        <f>(2574*(((1-RemiseCoef!$B$4)*RemiseCoef!$B$6)))+(RemiseCoef!forfait)</f>
        <v>2574</v>
      </c>
      <c r="N24" s="66">
        <f>(2613*(((1-RemiseCoef!$B$4)*RemiseCoef!$B$6)))+(RemiseCoef!forfait)</f>
        <v>2613</v>
      </c>
      <c r="O24" s="66">
        <f>(2668*(((1-RemiseCoef!$B$4)*RemiseCoef!$B$6)))+(RemiseCoef!forfait)</f>
        <v>2668</v>
      </c>
      <c r="P24" s="66">
        <f>(2707*(((1-RemiseCoef!$B$4)*RemiseCoef!$B$6)))+(RemiseCoef!forfait)</f>
        <v>2707</v>
      </c>
      <c r="Q24" s="66">
        <f>(2743*(((1-RemiseCoef!$B$4)*RemiseCoef!$B$6)))+(RemiseCoef!forfait)</f>
        <v>2743</v>
      </c>
      <c r="R24" s="66">
        <f>(2780*(((1-RemiseCoef!$B$4)*RemiseCoef!$B$6)))+(RemiseCoef!forfait)</f>
        <v>2780</v>
      </c>
      <c r="S24" s="66">
        <f>(2817*(((1-RemiseCoef!$B$4)*RemiseCoef!$B$6)))+(RemiseCoef!forfait)</f>
        <v>2817</v>
      </c>
      <c r="T24" s="67">
        <f>(2953*(((1-RemiseCoef!$B$4)*RemiseCoef!$B$6)))+(RemiseCoef!forfait)</f>
        <v>2953</v>
      </c>
      <c r="U24" s="68">
        <f>(2993*(((1-RemiseCoef!$B$4)*RemiseCoef!$B$6)))+(RemiseCoef!forfait)</f>
        <v>2993</v>
      </c>
      <c r="V24" s="66">
        <f>(3275*(((1-RemiseCoef!$B$4)*RemiseCoef!$B$6)))+(RemiseCoef!forfait)</f>
        <v>3275</v>
      </c>
      <c r="W24" s="66">
        <f>(3336*(((1-RemiseCoef!$B$4)*RemiseCoef!$B$6)))+(RemiseCoef!forfait)</f>
        <v>3336</v>
      </c>
      <c r="X24" s="66">
        <f>(3376*(((1-RemiseCoef!$B$4)*RemiseCoef!$B$6)))+(RemiseCoef!forfait)</f>
        <v>3376</v>
      </c>
      <c r="AA24" s="13"/>
      <c r="AB24" s="13"/>
      <c r="AC24" s="13"/>
      <c r="AD24" s="13"/>
      <c r="AE24" s="13"/>
      <c r="AF24" s="13"/>
      <c r="AG24" s="13"/>
      <c r="AH24" s="13"/>
      <c r="AI24" s="13"/>
      <c r="AJ24" s="13"/>
      <c r="AK24" s="13"/>
      <c r="AL24" s="13"/>
      <c r="AM24" s="13"/>
      <c r="AN24" s="13"/>
      <c r="AO24" s="13"/>
      <c r="AP24" s="13"/>
      <c r="AQ24" s="13"/>
      <c r="AR24" s="13"/>
      <c r="AS24" s="13"/>
      <c r="AT24" s="13"/>
      <c r="AU24" s="13"/>
      <c r="AV24" s="13"/>
      <c r="AW24" s="13"/>
    </row>
    <row r="25" spans="1:49" ht="11.25" customHeight="1" thickBot="1" x14ac:dyDescent="0.3">
      <c r="A25" s="64">
        <f t="shared" si="21"/>
        <v>2650</v>
      </c>
      <c r="B25" s="66">
        <f>(2149*(((1-RemiseCoef!$B$4)*RemiseCoef!$B$6)))+(RemiseCoef!forfait)</f>
        <v>2149</v>
      </c>
      <c r="C25" s="66">
        <f>(2188*(((1-RemiseCoef!$B$4)*RemiseCoef!$B$6)))+(RemiseCoef!forfait)</f>
        <v>2188</v>
      </c>
      <c r="D25" s="66">
        <f>(2226*(((1-RemiseCoef!$B$4)*RemiseCoef!$B$6)))+(RemiseCoef!forfait)</f>
        <v>2226</v>
      </c>
      <c r="E25" s="66">
        <f>(2262*(((1-RemiseCoef!$B$4)*RemiseCoef!$B$6)))+(RemiseCoef!forfait)</f>
        <v>2262</v>
      </c>
      <c r="F25" s="66">
        <f>(2301*(((1-RemiseCoef!$B$4)*RemiseCoef!$B$6)))+(RemiseCoef!forfait)</f>
        <v>2301</v>
      </c>
      <c r="G25" s="66">
        <f>(2357*(((1-RemiseCoef!$B$4)*RemiseCoef!$B$6)))+(RemiseCoef!forfait)</f>
        <v>2357</v>
      </c>
      <c r="H25" s="66">
        <f>(2396*(((1-RemiseCoef!$B$4)*RemiseCoef!$B$6)))+(RemiseCoef!forfait)</f>
        <v>2396</v>
      </c>
      <c r="I25" s="66">
        <f>(2434*(((1-RemiseCoef!$B$4)*RemiseCoef!$B$6)))+(RemiseCoef!forfait)</f>
        <v>2434</v>
      </c>
      <c r="J25" s="66">
        <f>(2492*(((1-RemiseCoef!$B$4)*RemiseCoef!$B$6)))+(RemiseCoef!forfait)</f>
        <v>2492</v>
      </c>
      <c r="K25" s="66">
        <f>(2531*(((1-RemiseCoef!$B$4)*RemiseCoef!$B$6)))+(RemiseCoef!forfait)</f>
        <v>2531</v>
      </c>
      <c r="L25" s="66">
        <f>(2569*(((1-RemiseCoef!$B$4)*RemiseCoef!$B$6)))+(RemiseCoef!forfait)</f>
        <v>2569</v>
      </c>
      <c r="M25" s="66">
        <f>(2606*(((1-RemiseCoef!$B$4)*RemiseCoef!$B$6)))+(RemiseCoef!forfait)</f>
        <v>2606</v>
      </c>
      <c r="N25" s="66">
        <f>(2644*(((1-RemiseCoef!$B$4)*RemiseCoef!$B$6)))+(RemiseCoef!forfait)</f>
        <v>2644</v>
      </c>
      <c r="O25" s="66">
        <f>(2702*(((1-RemiseCoef!$B$4)*RemiseCoef!$B$6)))+(RemiseCoef!forfait)</f>
        <v>2702</v>
      </c>
      <c r="P25" s="66">
        <f>(2739*(((1-RemiseCoef!$B$4)*RemiseCoef!$B$6)))+(RemiseCoef!forfait)</f>
        <v>2739</v>
      </c>
      <c r="Q25" s="66">
        <f>(2777*(((1-RemiseCoef!$B$4)*RemiseCoef!$B$6)))+(RemiseCoef!forfait)</f>
        <v>2777</v>
      </c>
      <c r="R25" s="67">
        <f>(2815*(((1-RemiseCoef!$B$4)*RemiseCoef!$B$6)))+(RemiseCoef!forfait)</f>
        <v>2815</v>
      </c>
      <c r="S25" s="68">
        <f>(2853*(((1-RemiseCoef!$B$4)*RemiseCoef!$B$6)))+(RemiseCoef!forfait)</f>
        <v>2853</v>
      </c>
      <c r="T25" s="69">
        <f>(3236*(((1-RemiseCoef!$B$4)*RemiseCoef!$B$6)))+(RemiseCoef!forfait)</f>
        <v>3236</v>
      </c>
      <c r="U25" s="66">
        <f>(3276*(((1-RemiseCoef!$B$4)*RemiseCoef!$B$6)))+(RemiseCoef!forfait)</f>
        <v>3276</v>
      </c>
      <c r="V25" s="66">
        <f>(3316*(((1-RemiseCoef!$B$4)*RemiseCoef!$B$6)))+(RemiseCoef!forfait)</f>
        <v>3316</v>
      </c>
      <c r="W25" s="66">
        <f>(3378*(((1-RemiseCoef!$B$4)*RemiseCoef!$B$6)))+(RemiseCoef!forfait)</f>
        <v>3378</v>
      </c>
      <c r="X25" s="66">
        <f>(3417*(((1-RemiseCoef!$B$4)*RemiseCoef!$B$6)))+(RemiseCoef!forfait)</f>
        <v>3417</v>
      </c>
      <c r="AA25" s="13"/>
      <c r="AB25" s="13"/>
      <c r="AC25" s="13"/>
      <c r="AD25" s="13"/>
      <c r="AE25" s="13"/>
      <c r="AF25" s="13"/>
      <c r="AG25" s="13"/>
      <c r="AH25" s="13"/>
      <c r="AI25" s="13"/>
      <c r="AJ25" s="13"/>
      <c r="AK25" s="13"/>
      <c r="AL25" s="13"/>
      <c r="AM25" s="13"/>
      <c r="AN25" s="13"/>
      <c r="AO25" s="13"/>
      <c r="AP25" s="13"/>
      <c r="AQ25" s="13"/>
      <c r="AR25" s="13"/>
      <c r="AS25" s="13"/>
      <c r="AT25" s="13"/>
      <c r="AU25" s="13"/>
      <c r="AV25" s="13"/>
      <c r="AW25" s="13"/>
    </row>
    <row r="26" spans="1:49" ht="11.25" customHeight="1" thickBot="1" x14ac:dyDescent="0.3">
      <c r="A26" s="64">
        <f t="shared" si="21"/>
        <v>2750</v>
      </c>
      <c r="B26" s="66">
        <f>(2171*(((1-RemiseCoef!$B$4)*RemiseCoef!$B$6)))+(RemiseCoef!forfait)</f>
        <v>2171</v>
      </c>
      <c r="C26" s="66">
        <f>(2209*(((1-RemiseCoef!$B$4)*RemiseCoef!$B$6)))+(RemiseCoef!forfait)</f>
        <v>2209</v>
      </c>
      <c r="D26" s="66">
        <f>(2249*(((1-RemiseCoef!$B$4)*RemiseCoef!$B$6)))+(RemiseCoef!forfait)</f>
        <v>2249</v>
      </c>
      <c r="E26" s="66">
        <f>(2286*(((1-RemiseCoef!$B$4)*RemiseCoef!$B$6)))+(RemiseCoef!forfait)</f>
        <v>2286</v>
      </c>
      <c r="F26" s="66">
        <f>(2326*(((1-RemiseCoef!$B$4)*RemiseCoef!$B$6)))+(RemiseCoef!forfait)</f>
        <v>2326</v>
      </c>
      <c r="G26" s="66">
        <f>(2385*(((1-RemiseCoef!$B$4)*RemiseCoef!$B$6)))+(RemiseCoef!forfait)</f>
        <v>2385</v>
      </c>
      <c r="H26" s="66">
        <f>(2424*(((1-RemiseCoef!$B$4)*RemiseCoef!$B$6)))+(RemiseCoef!forfait)</f>
        <v>2424</v>
      </c>
      <c r="I26" s="66">
        <f>(2482*(((1-RemiseCoef!$B$4)*RemiseCoef!$B$6)))+(RemiseCoef!forfait)</f>
        <v>2482</v>
      </c>
      <c r="J26" s="66">
        <f>(2520*(((1-RemiseCoef!$B$4)*RemiseCoef!$B$6)))+(RemiseCoef!forfait)</f>
        <v>2520</v>
      </c>
      <c r="K26" s="66">
        <f>(2559*(((1-RemiseCoef!$B$4)*RemiseCoef!$B$6)))+(RemiseCoef!forfait)</f>
        <v>2559</v>
      </c>
      <c r="L26" s="66">
        <f>(2598*(((1-RemiseCoef!$B$4)*RemiseCoef!$B$6)))+(RemiseCoef!forfait)</f>
        <v>2598</v>
      </c>
      <c r="M26" s="66">
        <f>(2636*(((1-RemiseCoef!$B$4)*RemiseCoef!$B$6)))+(RemiseCoef!forfait)</f>
        <v>2636</v>
      </c>
      <c r="N26" s="66">
        <f>(2676*(((1-RemiseCoef!$B$4)*RemiseCoef!$B$6)))+(RemiseCoef!forfait)</f>
        <v>2676</v>
      </c>
      <c r="O26" s="66">
        <f>(2735*(((1-RemiseCoef!$B$4)*RemiseCoef!$B$6)))+(RemiseCoef!forfait)</f>
        <v>2735</v>
      </c>
      <c r="P26" s="66">
        <f>(2773*(((1-RemiseCoef!$B$4)*RemiseCoef!$B$6)))+(RemiseCoef!forfait)</f>
        <v>2773</v>
      </c>
      <c r="Q26" s="67">
        <f>(2812*(((1-RemiseCoef!$B$4)*RemiseCoef!$B$6)))+(RemiseCoef!forfait)</f>
        <v>2812</v>
      </c>
      <c r="R26" s="68">
        <f>(2849*(((1-RemiseCoef!$B$4)*RemiseCoef!$B$6)))+(RemiseCoef!forfait)</f>
        <v>2849</v>
      </c>
      <c r="S26" s="66">
        <f>(3132*(((1-RemiseCoef!$B$4)*RemiseCoef!$B$6)))+(RemiseCoef!forfait)</f>
        <v>3132</v>
      </c>
      <c r="T26" s="66">
        <f>(3275*(((1-RemiseCoef!$B$4)*RemiseCoef!$B$6)))+(RemiseCoef!forfait)</f>
        <v>3275</v>
      </c>
      <c r="U26" s="66">
        <f>(3316*(((1-RemiseCoef!$B$4)*RemiseCoef!$B$6)))+(RemiseCoef!forfait)</f>
        <v>3316</v>
      </c>
      <c r="V26" s="66">
        <f>(3359*(((1-RemiseCoef!$B$4)*RemiseCoef!$B$6)))+(RemiseCoef!forfait)</f>
        <v>3359</v>
      </c>
      <c r="W26" s="66">
        <f>(3420*(((1-RemiseCoef!$B$4)*RemiseCoef!$B$6)))+(RemiseCoef!forfait)</f>
        <v>3420</v>
      </c>
      <c r="X26" s="66">
        <f>(3458*(((1-RemiseCoef!$B$4)*RemiseCoef!$B$6)))+(RemiseCoef!forfait)</f>
        <v>3458</v>
      </c>
      <c r="AA26" s="13"/>
      <c r="AB26" s="13"/>
      <c r="AC26" s="13"/>
      <c r="AD26" s="13"/>
      <c r="AE26" s="13"/>
      <c r="AF26" s="13"/>
      <c r="AG26" s="13"/>
      <c r="AH26" s="13"/>
      <c r="AI26" s="13"/>
      <c r="AJ26" s="13"/>
      <c r="AK26" s="13"/>
      <c r="AL26" s="13"/>
      <c r="AM26" s="13"/>
      <c r="AN26" s="13"/>
      <c r="AO26" s="13"/>
      <c r="AP26" s="13"/>
      <c r="AQ26" s="13"/>
      <c r="AR26" s="13"/>
      <c r="AS26" s="13"/>
      <c r="AT26" s="13"/>
      <c r="AU26" s="13"/>
      <c r="AV26" s="13"/>
      <c r="AW26" s="13"/>
    </row>
    <row r="27" spans="1:49" ht="11.25" customHeight="1" thickBot="1" x14ac:dyDescent="0.3">
      <c r="A27" s="64">
        <f t="shared" si="21"/>
        <v>2850</v>
      </c>
      <c r="B27" s="66">
        <f>(2207*(((1-RemiseCoef!$B$4)*RemiseCoef!$B$6)))+(RemiseCoef!forfait)</f>
        <v>2207</v>
      </c>
      <c r="C27" s="66">
        <f>(2248*(((1-RemiseCoef!$B$4)*RemiseCoef!$B$6)))+(RemiseCoef!forfait)</f>
        <v>2248</v>
      </c>
      <c r="D27" s="66">
        <f>(2288*(((1-RemiseCoef!$B$4)*RemiseCoef!$B$6)))+(RemiseCoef!forfait)</f>
        <v>2288</v>
      </c>
      <c r="E27" s="66">
        <f>(2328*(((1-RemiseCoef!$B$4)*RemiseCoef!$B$6)))+(RemiseCoef!forfait)</f>
        <v>2328</v>
      </c>
      <c r="F27" s="66">
        <f>(2369*(((1-RemiseCoef!$B$4)*RemiseCoef!$B$6)))+(RemiseCoef!forfait)</f>
        <v>2369</v>
      </c>
      <c r="G27" s="66">
        <f>(2429*(((1-RemiseCoef!$B$4)*RemiseCoef!$B$6)))+(RemiseCoef!forfait)</f>
        <v>2429</v>
      </c>
      <c r="H27" s="66">
        <f>(2488*(((1-RemiseCoef!$B$4)*RemiseCoef!$B$6)))+(RemiseCoef!forfait)</f>
        <v>2488</v>
      </c>
      <c r="I27" s="66">
        <f>(2530*(((1-RemiseCoef!$B$4)*RemiseCoef!$B$6)))+(RemiseCoef!forfait)</f>
        <v>2530</v>
      </c>
      <c r="J27" s="66">
        <f>(2570*(((1-RemiseCoef!$B$4)*RemiseCoef!$B$6)))+(RemiseCoef!forfait)</f>
        <v>2570</v>
      </c>
      <c r="K27" s="66">
        <f>(2610*(((1-RemiseCoef!$B$4)*RemiseCoef!$B$6)))+(RemiseCoef!forfait)</f>
        <v>2610</v>
      </c>
      <c r="L27" s="66">
        <f>(2649*(((1-RemiseCoef!$B$4)*RemiseCoef!$B$6)))+(RemiseCoef!forfait)</f>
        <v>2649</v>
      </c>
      <c r="M27" s="66">
        <f>(2690*(((1-RemiseCoef!$B$4)*RemiseCoef!$B$6)))+(RemiseCoef!forfait)</f>
        <v>2690</v>
      </c>
      <c r="N27" s="66">
        <f>(2730*(((1-RemiseCoef!$B$4)*RemiseCoef!$B$6)))+(RemiseCoef!forfait)</f>
        <v>2730</v>
      </c>
      <c r="O27" s="66">
        <f>(2792*(((1-RemiseCoef!$B$4)*RemiseCoef!$B$6)))+(RemiseCoef!forfait)</f>
        <v>2792</v>
      </c>
      <c r="P27" s="67">
        <f>(2830*(((1-RemiseCoef!$B$4)*RemiseCoef!$B$6)))+(RemiseCoef!forfait)</f>
        <v>2830</v>
      </c>
      <c r="Q27" s="68">
        <f>(2871*(((1-RemiseCoef!$B$4)*RemiseCoef!$B$6)))+(RemiseCoef!forfait)</f>
        <v>2871</v>
      </c>
      <c r="R27" s="66">
        <f>(3157*(((1-RemiseCoef!$B$4)*RemiseCoef!$B$6)))+(RemiseCoef!forfait)</f>
        <v>3157</v>
      </c>
      <c r="S27" s="66">
        <f>(3196*(((1-RemiseCoef!$B$4)*RemiseCoef!$B$6)))+(RemiseCoef!forfait)</f>
        <v>3196</v>
      </c>
      <c r="T27" s="66">
        <f>(3345*(((1-RemiseCoef!$B$4)*RemiseCoef!$B$6)))+(RemiseCoef!forfait)</f>
        <v>3345</v>
      </c>
      <c r="U27" s="66">
        <f>(3388*(((1-RemiseCoef!$B$4)*RemiseCoef!$B$6)))+(RemiseCoef!forfait)</f>
        <v>3388</v>
      </c>
      <c r="V27" s="66">
        <f>(3430*(((1-RemiseCoef!$B$4)*RemiseCoef!$B$6)))+(RemiseCoef!forfait)</f>
        <v>3430</v>
      </c>
      <c r="W27" s="66">
        <f>(3494*(((1-RemiseCoef!$B$4)*RemiseCoef!$B$6)))+(RemiseCoef!forfait)</f>
        <v>3494</v>
      </c>
      <c r="X27" s="66">
        <f>(3536*(((1-RemiseCoef!$B$4)*RemiseCoef!$B$6)))+(RemiseCoef!forfait)</f>
        <v>3536</v>
      </c>
      <c r="AA27" s="13"/>
      <c r="AB27" s="13"/>
      <c r="AC27" s="13"/>
      <c r="AD27" s="13"/>
      <c r="AE27" s="13"/>
      <c r="AF27" s="13"/>
      <c r="AG27" s="13"/>
      <c r="AH27" s="13"/>
      <c r="AI27" s="13"/>
      <c r="AJ27" s="13"/>
      <c r="AK27" s="13"/>
      <c r="AL27" s="13"/>
      <c r="AM27" s="13"/>
      <c r="AN27" s="13"/>
      <c r="AO27" s="13"/>
      <c r="AP27" s="13"/>
      <c r="AQ27" s="13"/>
      <c r="AR27" s="13"/>
      <c r="AS27" s="13"/>
      <c r="AT27" s="13"/>
      <c r="AU27" s="13"/>
      <c r="AV27" s="13"/>
      <c r="AW27" s="13"/>
    </row>
    <row r="28" spans="1:49" ht="11.25" customHeight="1" thickBot="1" x14ac:dyDescent="0.3">
      <c r="A28" s="64">
        <f t="shared" si="21"/>
        <v>2950</v>
      </c>
      <c r="B28" s="66">
        <f>(2230*(((1-RemiseCoef!$B$4)*RemiseCoef!$B$6)))+(RemiseCoef!forfait)</f>
        <v>2230</v>
      </c>
      <c r="C28" s="66">
        <f>(2273*(((1-RemiseCoef!$B$4)*RemiseCoef!$B$6)))+(RemiseCoef!forfait)</f>
        <v>2273</v>
      </c>
      <c r="D28" s="66">
        <f>(2311*(((1-RemiseCoef!$B$4)*RemiseCoef!$B$6)))+(RemiseCoef!forfait)</f>
        <v>2311</v>
      </c>
      <c r="E28" s="66">
        <f>(2353*(((1-RemiseCoef!$B$4)*RemiseCoef!$B$6)))+(RemiseCoef!forfait)</f>
        <v>2353</v>
      </c>
      <c r="F28" s="66">
        <f>(2394*(((1-RemiseCoef!$B$4)*RemiseCoef!$B$6)))+(RemiseCoef!forfait)</f>
        <v>2394</v>
      </c>
      <c r="G28" s="66">
        <f>(2476*(((1-RemiseCoef!$B$4)*RemiseCoef!$B$6)))+(RemiseCoef!forfait)</f>
        <v>2476</v>
      </c>
      <c r="H28" s="66">
        <f>(2517*(((1-RemiseCoef!$B$4)*RemiseCoef!$B$6)))+(RemiseCoef!forfait)</f>
        <v>2517</v>
      </c>
      <c r="I28" s="66">
        <f>(2557*(((1-RemiseCoef!$B$4)*RemiseCoef!$B$6)))+(RemiseCoef!forfait)</f>
        <v>2557</v>
      </c>
      <c r="J28" s="66">
        <f>(2598*(((1-RemiseCoef!$B$4)*RemiseCoef!$B$6)))+(RemiseCoef!forfait)</f>
        <v>2598</v>
      </c>
      <c r="K28" s="66">
        <f>(2639*(((1-RemiseCoef!$B$4)*RemiseCoef!$B$6)))+(RemiseCoef!forfait)</f>
        <v>2639</v>
      </c>
      <c r="L28" s="66">
        <f>(2681*(((1-RemiseCoef!$B$4)*RemiseCoef!$B$6)))+(RemiseCoef!forfait)</f>
        <v>2681</v>
      </c>
      <c r="M28" s="66">
        <f>(2722*(((1-RemiseCoef!$B$4)*RemiseCoef!$B$6)))+(RemiseCoef!forfait)</f>
        <v>2722</v>
      </c>
      <c r="N28" s="66">
        <f>(2762*(((1-RemiseCoef!$B$4)*RemiseCoef!$B$6)))+(RemiseCoef!forfait)</f>
        <v>2762</v>
      </c>
      <c r="O28" s="67">
        <f>(2824*(((1-RemiseCoef!$B$4)*RemiseCoef!$B$6)))+(RemiseCoef!forfait)</f>
        <v>2824</v>
      </c>
      <c r="P28" s="68">
        <f>(2864*(((1-RemiseCoef!$B$4)*RemiseCoef!$B$6)))+(RemiseCoef!forfait)</f>
        <v>2864</v>
      </c>
      <c r="Q28" s="66">
        <f>(3150*(((1-RemiseCoef!$B$4)*RemiseCoef!$B$6)))+(RemiseCoef!forfait)</f>
        <v>3150</v>
      </c>
      <c r="R28" s="66">
        <f>(3190*(((1-RemiseCoef!$B$4)*RemiseCoef!$B$6)))+(RemiseCoef!forfait)</f>
        <v>3190</v>
      </c>
      <c r="S28" s="66">
        <f>(3232*(((1-RemiseCoef!$B$4)*RemiseCoef!$B$6)))+(RemiseCoef!forfait)</f>
        <v>3232</v>
      </c>
      <c r="T28" s="66">
        <f>(3384*(((1-RemiseCoef!$B$4)*RemiseCoef!$B$6)))+(RemiseCoef!forfait)</f>
        <v>3384</v>
      </c>
      <c r="U28" s="66">
        <f>(3428*(((1-RemiseCoef!$B$4)*RemiseCoef!$B$6)))+(RemiseCoef!forfait)</f>
        <v>3428</v>
      </c>
      <c r="V28" s="66">
        <f>(3472*(((1-RemiseCoef!$B$4)*RemiseCoef!$B$6)))+(RemiseCoef!forfait)</f>
        <v>3472</v>
      </c>
      <c r="W28" s="66">
        <f>(3535*(((1-RemiseCoef!$B$4)*RemiseCoef!$B$6)))+(RemiseCoef!forfait)</f>
        <v>3535</v>
      </c>
      <c r="X28" s="66">
        <f>(3579*(((1-RemiseCoef!$B$4)*RemiseCoef!$B$6)))+(RemiseCoef!forfait)</f>
        <v>3579</v>
      </c>
      <c r="AA28" s="13"/>
      <c r="AB28" s="13"/>
      <c r="AC28" s="13"/>
      <c r="AD28" s="13"/>
      <c r="AE28" s="13"/>
      <c r="AF28" s="13"/>
      <c r="AG28" s="13"/>
      <c r="AH28" s="13"/>
      <c r="AI28" s="13"/>
      <c r="AJ28" s="13"/>
      <c r="AK28" s="13"/>
      <c r="AL28" s="13"/>
      <c r="AM28" s="13"/>
      <c r="AN28" s="13"/>
      <c r="AO28" s="13"/>
      <c r="AP28" s="13"/>
      <c r="AQ28" s="13"/>
      <c r="AR28" s="13"/>
      <c r="AS28" s="13"/>
      <c r="AT28" s="13"/>
      <c r="AU28" s="13"/>
      <c r="AV28" s="13"/>
      <c r="AW28" s="13"/>
    </row>
    <row r="29" spans="1:49" ht="11.25" customHeight="1" thickBot="1" x14ac:dyDescent="0.3">
      <c r="A29" s="64">
        <f t="shared" si="21"/>
        <v>3050</v>
      </c>
      <c r="B29" s="10">
        <f>(2253*(((1-RemiseCoef!$B$4)*RemiseCoef!$B$6)))+(RemiseCoef!forfait)</f>
        <v>2253</v>
      </c>
      <c r="C29" s="10">
        <f>(2295*(((1-RemiseCoef!$B$4)*RemiseCoef!$B$6)))+(RemiseCoef!forfait)</f>
        <v>2295</v>
      </c>
      <c r="D29" s="10">
        <f>(2335*(((1-RemiseCoef!$B$4)*RemiseCoef!$B$6)))+(RemiseCoef!forfait)</f>
        <v>2335</v>
      </c>
      <c r="E29" s="10">
        <f>(2377*(((1-RemiseCoef!$B$4)*RemiseCoef!$B$6)))+(RemiseCoef!forfait)</f>
        <v>2377</v>
      </c>
      <c r="F29" s="10">
        <f>(2421*(((1-RemiseCoef!$B$4)*RemiseCoef!$B$6)))+(RemiseCoef!forfait)</f>
        <v>2421</v>
      </c>
      <c r="G29" s="10">
        <f>(2502*(((1-RemiseCoef!$B$4)*RemiseCoef!$B$6)))+(RemiseCoef!forfait)</f>
        <v>2502</v>
      </c>
      <c r="H29" s="10">
        <f>(2543*(((1-RemiseCoef!$B$4)*RemiseCoef!$B$6)))+(RemiseCoef!forfait)</f>
        <v>2543</v>
      </c>
      <c r="I29" s="10">
        <f>(2586*(((1-RemiseCoef!$B$4)*RemiseCoef!$B$6)))+(RemiseCoef!forfait)</f>
        <v>2586</v>
      </c>
      <c r="J29" s="10">
        <f>(2625*(((1-RemiseCoef!$B$4)*RemiseCoef!$B$6)))+(RemiseCoef!forfait)</f>
        <v>2625</v>
      </c>
      <c r="K29" s="10">
        <f>(2668*(((1-RemiseCoef!$B$4)*RemiseCoef!$B$6)))+(RemiseCoef!forfait)</f>
        <v>2668</v>
      </c>
      <c r="L29" s="10">
        <f>(2710*(((1-RemiseCoef!$B$4)*RemiseCoef!$B$6)))+(RemiseCoef!forfait)</f>
        <v>2710</v>
      </c>
      <c r="M29" s="10">
        <f>(2752*(((1-RemiseCoef!$B$4)*RemiseCoef!$B$6)))+(RemiseCoef!forfait)</f>
        <v>2752</v>
      </c>
      <c r="N29" s="67">
        <f>(2794*(((1-RemiseCoef!$B$4)*RemiseCoef!$B$6)))+(RemiseCoef!forfait)</f>
        <v>2794</v>
      </c>
      <c r="O29" s="77">
        <f>(2856*(((1-RemiseCoef!$B$4)*RemiseCoef!$B$6)))+(RemiseCoef!forfait)</f>
        <v>2856</v>
      </c>
      <c r="P29" s="10">
        <f>(3141*(((1-RemiseCoef!$B$4)*RemiseCoef!$B$6)))+(RemiseCoef!forfait)</f>
        <v>3141</v>
      </c>
      <c r="Q29" s="10">
        <f>(3183*(((1-RemiseCoef!$B$4)*RemiseCoef!$B$6)))+(RemiseCoef!forfait)</f>
        <v>3183</v>
      </c>
      <c r="R29" s="10">
        <f>(3227*(((1-RemiseCoef!$B$4)*RemiseCoef!$B$6)))+(RemiseCoef!forfait)</f>
        <v>3227</v>
      </c>
      <c r="S29" s="10">
        <f>(3268*(((1-RemiseCoef!$B$4)*RemiseCoef!$B$6)))+(RemiseCoef!forfait)</f>
        <v>3268</v>
      </c>
      <c r="T29" s="10">
        <f>(3423*(((1-RemiseCoef!$B$4)*RemiseCoef!$B$6)))+(RemiseCoef!forfait)</f>
        <v>3423</v>
      </c>
      <c r="U29" s="10">
        <f>(3469*(((1-RemiseCoef!$B$4)*RemiseCoef!$B$6)))+(RemiseCoef!forfait)</f>
        <v>3469</v>
      </c>
      <c r="V29" s="10">
        <f>(3513*(((1-RemiseCoef!$B$4)*RemiseCoef!$B$6)))+(RemiseCoef!forfait)</f>
        <v>3513</v>
      </c>
      <c r="W29" s="10">
        <f>(3576*(((1-RemiseCoef!$B$4)*RemiseCoef!$B$6)))+(RemiseCoef!forfait)</f>
        <v>3576</v>
      </c>
      <c r="X29" s="10">
        <f>(3621*(((1-RemiseCoef!$B$4)*RemiseCoef!$B$6)))+(RemiseCoef!forfait)</f>
        <v>3621</v>
      </c>
      <c r="AA29" s="13"/>
      <c r="AB29" s="13"/>
      <c r="AC29" s="13"/>
      <c r="AD29" s="13"/>
      <c r="AE29" s="13"/>
      <c r="AF29" s="13"/>
      <c r="AG29" s="13"/>
      <c r="AH29" s="13"/>
      <c r="AI29" s="13"/>
      <c r="AJ29" s="13"/>
      <c r="AK29" s="13"/>
      <c r="AL29" s="13"/>
      <c r="AM29" s="13"/>
      <c r="AN29" s="13"/>
      <c r="AO29" s="13"/>
      <c r="AP29" s="13"/>
      <c r="AQ29" s="13"/>
      <c r="AR29" s="13"/>
      <c r="AS29" s="13"/>
      <c r="AT29" s="13"/>
      <c r="AU29" s="13"/>
      <c r="AV29" s="13"/>
      <c r="AW29" s="13"/>
    </row>
    <row r="30" spans="1:49" ht="11.25" customHeight="1" thickBot="1" x14ac:dyDescent="0.3">
      <c r="A30" s="64">
        <f t="shared" si="21"/>
        <v>3150</v>
      </c>
      <c r="B30" s="10">
        <f>(2362*(((1-RemiseCoef!$B$4)*RemiseCoef!$B$6)))+(RemiseCoef!forfait)</f>
        <v>2362</v>
      </c>
      <c r="C30" s="10">
        <f>(2407*(((1-RemiseCoef!$B$4)*RemiseCoef!$B$6)))+(RemiseCoef!forfait)</f>
        <v>2407</v>
      </c>
      <c r="D30" s="10">
        <f>(2454*(((1-RemiseCoef!$B$4)*RemiseCoef!$B$6)))+(RemiseCoef!forfait)</f>
        <v>2454</v>
      </c>
      <c r="E30" s="10">
        <f>(2499*(((1-RemiseCoef!$B$4)*RemiseCoef!$B$6)))+(RemiseCoef!forfait)</f>
        <v>2499</v>
      </c>
      <c r="F30" s="10">
        <f>(2565*(((1-RemiseCoef!$B$4)*RemiseCoef!$B$6)))+(RemiseCoef!forfait)</f>
        <v>2565</v>
      </c>
      <c r="G30" s="10">
        <f>(2632*(((1-RemiseCoef!$B$4)*RemiseCoef!$B$6)))+(RemiseCoef!forfait)</f>
        <v>2632</v>
      </c>
      <c r="H30" s="10">
        <f>(2677*(((1-RemiseCoef!$B$4)*RemiseCoef!$B$6)))+(RemiseCoef!forfait)</f>
        <v>2677</v>
      </c>
      <c r="I30" s="10">
        <f>(2723*(((1-RemiseCoef!$B$4)*RemiseCoef!$B$6)))+(RemiseCoef!forfait)</f>
        <v>2723</v>
      </c>
      <c r="J30" s="10">
        <f>(2769*(((1-RemiseCoef!$B$4)*RemiseCoef!$B$6)))+(RemiseCoef!forfait)</f>
        <v>2769</v>
      </c>
      <c r="K30" s="10">
        <f>(2815*(((1-RemiseCoef!$B$4)*RemiseCoef!$B$6)))+(RemiseCoef!forfait)</f>
        <v>2815</v>
      </c>
      <c r="L30" s="10">
        <f>(2860*(((1-RemiseCoef!$B$4)*RemiseCoef!$B$6)))+(RemiseCoef!forfait)</f>
        <v>2860</v>
      </c>
      <c r="M30" s="67">
        <f>(2906*(((1-RemiseCoef!$B$4)*RemiseCoef!$B$6)))+(RemiseCoef!forfait)</f>
        <v>2906</v>
      </c>
      <c r="N30" s="68">
        <f>(2952*(((1-RemiseCoef!$B$4)*RemiseCoef!$B$6)))+(RemiseCoef!forfait)</f>
        <v>2952</v>
      </c>
      <c r="O30" s="10">
        <f>(3263*(((1-RemiseCoef!$B$4)*RemiseCoef!$B$6)))+(RemiseCoef!forfait)</f>
        <v>3263</v>
      </c>
      <c r="P30" s="10">
        <f>(3309*(((1-RemiseCoef!$B$4)*RemiseCoef!$B$6)))+(RemiseCoef!forfait)</f>
        <v>3309</v>
      </c>
      <c r="Q30" s="10">
        <f>(3354*(((1-RemiseCoef!$B$4)*RemiseCoef!$B$6)))+(RemiseCoef!forfait)</f>
        <v>3354</v>
      </c>
      <c r="R30" s="10">
        <f>(3400*(((1-RemiseCoef!$B$4)*RemiseCoef!$B$6)))+(RemiseCoef!forfait)</f>
        <v>3400</v>
      </c>
      <c r="S30" s="10">
        <f>(3447*(((1-RemiseCoef!$B$4)*RemiseCoef!$B$6)))+(RemiseCoef!forfait)</f>
        <v>3447</v>
      </c>
      <c r="T30" s="10">
        <f>(3463*(((1-RemiseCoef!$B$4)*RemiseCoef!$B$6)))+(RemiseCoef!forfait)</f>
        <v>3463</v>
      </c>
      <c r="U30" s="10">
        <f>(3507*(((1-RemiseCoef!$B$4)*RemiseCoef!$B$6)))+(RemiseCoef!forfait)</f>
        <v>3507</v>
      </c>
      <c r="V30" s="10">
        <f>(3552*(((1-RemiseCoef!$B$4)*RemiseCoef!$B$6)))+(RemiseCoef!forfait)</f>
        <v>3552</v>
      </c>
      <c r="W30" s="10">
        <f>(3619*(((1-RemiseCoef!$B$4)*RemiseCoef!$B$6)))+(RemiseCoef!forfait)</f>
        <v>3619</v>
      </c>
      <c r="X30" s="10">
        <f>(3662*(((1-RemiseCoef!$B$4)*RemiseCoef!$B$6)))+(RemiseCoef!forfait)</f>
        <v>3662</v>
      </c>
      <c r="AA30" s="13"/>
      <c r="AB30" s="13"/>
      <c r="AC30" s="13"/>
      <c r="AD30" s="13"/>
      <c r="AE30" s="13"/>
      <c r="AF30" s="13"/>
      <c r="AG30" s="13"/>
      <c r="AH30" s="13"/>
      <c r="AI30" s="13"/>
      <c r="AJ30" s="13"/>
      <c r="AK30" s="13"/>
      <c r="AL30" s="13"/>
      <c r="AM30" s="13"/>
      <c r="AN30" s="13"/>
      <c r="AO30" s="13"/>
      <c r="AP30" s="13"/>
      <c r="AQ30" s="13"/>
      <c r="AR30" s="13"/>
      <c r="AS30" s="13"/>
      <c r="AT30" s="13"/>
      <c r="AU30" s="13"/>
      <c r="AV30" s="13"/>
      <c r="AW30" s="13"/>
    </row>
    <row r="31" spans="1:49" ht="11.25" customHeight="1" x14ac:dyDescent="0.25">
      <c r="A31" s="64">
        <v>3200</v>
      </c>
      <c r="B31" s="10">
        <f>(2401*(((1-RemiseCoef!$B$4)*RemiseCoef!$B$6)))+(RemiseCoef!forfait)</f>
        <v>2401</v>
      </c>
      <c r="C31" s="10">
        <f>(2450*(((1-RemiseCoef!$B$4)*RemiseCoef!$B$6)))+(RemiseCoef!forfait)</f>
        <v>2450</v>
      </c>
      <c r="D31" s="10">
        <f>(2498*(((1-RemiseCoef!$B$4)*RemiseCoef!$B$6)))+(RemiseCoef!forfait)</f>
        <v>2498</v>
      </c>
      <c r="E31" s="10">
        <f>(2565*(((1-RemiseCoef!$B$4)*RemiseCoef!$B$6)))+(RemiseCoef!forfait)</f>
        <v>2565</v>
      </c>
      <c r="F31" s="10">
        <f>(2611*(((1-RemiseCoef!$B$4)*RemiseCoef!$B$6)))+(RemiseCoef!forfait)</f>
        <v>2611</v>
      </c>
      <c r="G31" s="10">
        <f>(2680*(((1-RemiseCoef!$B$4)*RemiseCoef!$B$6)))+(RemiseCoef!forfait)</f>
        <v>2680</v>
      </c>
      <c r="H31" s="10">
        <f>(2726*(((1-RemiseCoef!$B$4)*RemiseCoef!$B$6)))+(RemiseCoef!forfait)</f>
        <v>2726</v>
      </c>
      <c r="I31" s="10">
        <f>(2774*(((1-RemiseCoef!$B$4)*RemiseCoef!$B$6)))+(RemiseCoef!forfait)</f>
        <v>2774</v>
      </c>
      <c r="J31" s="10">
        <f>(2823*(((1-RemiseCoef!$B$4)*RemiseCoef!$B$6)))+(RemiseCoef!forfait)</f>
        <v>2823</v>
      </c>
      <c r="K31" s="10">
        <f>(2870*(((1-RemiseCoef!$B$4)*RemiseCoef!$B$6)))+(RemiseCoef!forfait)</f>
        <v>2870</v>
      </c>
      <c r="L31" s="70">
        <f>(2918*(((1-RemiseCoef!$B$4)*RemiseCoef!$B$6)))+(RemiseCoef!forfait)</f>
        <v>2918</v>
      </c>
      <c r="M31" s="68">
        <f>(2964*(((1-RemiseCoef!$B$4)*RemiseCoef!$B$6)))+(RemiseCoef!forfait)</f>
        <v>2964</v>
      </c>
      <c r="N31" s="70">
        <f>(3257*(((1-RemiseCoef!$B$4)*RemiseCoef!$B$6)))+(RemiseCoef!forfait)</f>
        <v>3257</v>
      </c>
      <c r="O31" s="10">
        <f>(3324*(((1-RemiseCoef!$B$4)*RemiseCoef!$B$6)))+(RemiseCoef!forfait)</f>
        <v>3324</v>
      </c>
      <c r="P31" s="10">
        <f>(3373*(((1-RemiseCoef!$B$4)*RemiseCoef!$B$6)))+(RemiseCoef!forfait)</f>
        <v>3373</v>
      </c>
      <c r="Q31" s="10">
        <f>(3421*(((1-RemiseCoef!$B$4)*RemiseCoef!$B$6)))+(RemiseCoef!forfait)</f>
        <v>3421</v>
      </c>
      <c r="R31" s="10">
        <f>(3469*(((1-RemiseCoef!$B$4)*RemiseCoef!$B$6)))+(RemiseCoef!forfait)</f>
        <v>3469</v>
      </c>
      <c r="S31" s="10">
        <f>(3516*(((1-RemiseCoef!$B$4)*RemiseCoef!$B$6)))+(RemiseCoef!forfait)</f>
        <v>3516</v>
      </c>
      <c r="T31" s="10">
        <f>(3532*(((1-RemiseCoef!$B$4)*RemiseCoef!$B$6)))+(RemiseCoef!forfait)</f>
        <v>3532</v>
      </c>
      <c r="U31" s="10">
        <f>(3579*(((1-RemiseCoef!$B$4)*RemiseCoef!$B$6)))+(RemiseCoef!forfait)</f>
        <v>3579</v>
      </c>
      <c r="V31" s="10">
        <f>(3627*(((1-RemiseCoef!$B$4)*RemiseCoef!$B$6)))+(RemiseCoef!forfait)</f>
        <v>3627</v>
      </c>
      <c r="W31" s="10">
        <f>(3694*(((1-RemiseCoef!$B$4)*RemiseCoef!$B$6)))+(RemiseCoef!forfait)</f>
        <v>3694</v>
      </c>
      <c r="X31" s="10">
        <f>(3740*(((1-RemiseCoef!$B$4)*RemiseCoef!$B$6)))+(RemiseCoef!forfait)</f>
        <v>3740</v>
      </c>
      <c r="AA31" s="13"/>
      <c r="AB31" s="13"/>
      <c r="AC31" s="13"/>
      <c r="AD31" s="13"/>
      <c r="AE31" s="13"/>
      <c r="AF31" s="13"/>
      <c r="AG31" s="13"/>
      <c r="AH31" s="13"/>
      <c r="AI31" s="13"/>
      <c r="AJ31" s="13"/>
      <c r="AK31" s="13"/>
      <c r="AL31" s="13"/>
      <c r="AM31" s="13"/>
      <c r="AN31" s="13"/>
      <c r="AO31" s="13"/>
      <c r="AP31" s="13"/>
      <c r="AQ31" s="13"/>
      <c r="AR31" s="13"/>
      <c r="AS31" s="13"/>
      <c r="AT31" s="13"/>
      <c r="AU31" s="13"/>
      <c r="AV31" s="13"/>
      <c r="AW31" s="13"/>
    </row>
    <row r="32" spans="1:49" ht="12.75" customHeight="1" x14ac:dyDescent="0.25">
      <c r="A32" s="9"/>
      <c r="B32" s="9"/>
      <c r="C32" s="9"/>
      <c r="D32" s="9"/>
      <c r="E32" s="9"/>
      <c r="F32" s="9"/>
      <c r="G32" s="9"/>
      <c r="H32" s="9"/>
      <c r="I32" s="9"/>
      <c r="J32" s="9"/>
      <c r="K32" s="9"/>
      <c r="L32" s="9"/>
      <c r="M32" s="78" t="s">
        <v>95</v>
      </c>
      <c r="N32" s="9"/>
      <c r="O32" s="9"/>
      <c r="P32" s="9"/>
      <c r="Q32" s="9"/>
      <c r="R32" s="9"/>
      <c r="S32" s="9"/>
      <c r="T32" s="9"/>
      <c r="U32" s="9"/>
      <c r="V32" s="9"/>
      <c r="W32" s="9"/>
      <c r="X32" s="9"/>
    </row>
    <row r="33" spans="1:24" ht="12.75" customHeight="1" x14ac:dyDescent="0.25">
      <c r="A33" s="9"/>
      <c r="B33" s="9"/>
      <c r="C33" s="9"/>
      <c r="D33" s="9"/>
      <c r="E33" s="9"/>
      <c r="F33" s="9"/>
      <c r="G33" s="9"/>
      <c r="H33" s="9"/>
      <c r="I33" s="9"/>
      <c r="J33" s="9"/>
      <c r="K33" s="9"/>
      <c r="L33" s="9"/>
      <c r="M33" s="9"/>
      <c r="N33" s="9"/>
      <c r="O33" s="9"/>
      <c r="P33" s="9"/>
      <c r="Q33" s="9"/>
      <c r="R33" s="9"/>
      <c r="S33" s="9"/>
      <c r="T33" s="9"/>
      <c r="U33" s="9"/>
      <c r="V33" s="9"/>
      <c r="W33" s="9"/>
      <c r="X33" s="9"/>
    </row>
    <row r="34" spans="1:24" ht="12.75" customHeight="1" x14ac:dyDescent="0.25">
      <c r="A34" s="8"/>
      <c r="B34" s="9"/>
      <c r="C34" s="9"/>
      <c r="D34" s="9"/>
      <c r="E34" s="9"/>
      <c r="F34" s="9"/>
      <c r="G34" s="9"/>
      <c r="H34" s="9"/>
      <c r="I34" s="9"/>
      <c r="J34" s="9"/>
      <c r="K34" s="9"/>
      <c r="L34" s="9"/>
      <c r="M34" s="9"/>
      <c r="N34" s="9"/>
      <c r="O34" s="9"/>
      <c r="P34" s="9"/>
      <c r="Q34" s="9"/>
      <c r="R34" s="9"/>
      <c r="S34" s="9"/>
      <c r="T34" s="9"/>
      <c r="U34" s="9"/>
      <c r="V34" s="9"/>
      <c r="W34" s="9"/>
      <c r="X34" s="9"/>
    </row>
    <row r="35" spans="1:24" ht="19.5" customHeight="1" x14ac:dyDescent="0.25">
      <c r="A35" s="79" t="s">
        <v>21</v>
      </c>
      <c r="B35" s="47"/>
      <c r="C35" s="47"/>
      <c r="D35" s="47"/>
      <c r="E35" s="47"/>
      <c r="F35" s="47"/>
      <c r="G35" s="47"/>
      <c r="H35" s="47"/>
      <c r="I35" s="47"/>
      <c r="J35" s="9"/>
      <c r="K35" s="9"/>
      <c r="L35" s="9"/>
      <c r="M35" s="79" t="s">
        <v>38</v>
      </c>
      <c r="N35" s="47"/>
      <c r="O35" s="47"/>
      <c r="P35" s="47"/>
      <c r="Q35" s="47"/>
      <c r="R35" s="47"/>
      <c r="S35" s="47"/>
      <c r="T35" s="47"/>
      <c r="U35" s="47"/>
      <c r="V35" s="47"/>
      <c r="W35" s="9"/>
      <c r="X35" s="9"/>
    </row>
    <row r="36" spans="1:24" ht="9" customHeight="1" x14ac:dyDescent="0.25">
      <c r="A36" s="9"/>
      <c r="B36" s="9"/>
      <c r="C36" s="9"/>
      <c r="D36" s="9"/>
      <c r="E36" s="9"/>
      <c r="F36" s="9"/>
      <c r="G36" s="9"/>
      <c r="H36" s="9"/>
      <c r="I36" s="96">
        <f>(440*(((1-RemiseCoef!$B$4)*RemiseCoef!$B$6)))</f>
        <v>440</v>
      </c>
      <c r="J36" s="96">
        <f>(0*(((1-RemiseCoef!$B$4)*RemiseCoef!$B$6)))+(RemiseCoef!forfait)</f>
        <v>0</v>
      </c>
      <c r="K36" s="96">
        <f>(0*(((1-RemiseCoef!$B$4)*RemiseCoef!$B$6)))+(RemiseCoef!forfait)</f>
        <v>0</v>
      </c>
      <c r="L36" s="9"/>
      <c r="M36" s="9"/>
      <c r="N36" s="9"/>
      <c r="O36" s="9"/>
      <c r="P36" s="9"/>
      <c r="Q36" s="9"/>
      <c r="R36" s="9"/>
      <c r="S36" s="9"/>
      <c r="T36" s="9"/>
      <c r="U36" s="9"/>
      <c r="V36" s="96">
        <f>(690*(((1-RemiseCoef!$B$4)*RemiseCoef!$B$6)))</f>
        <v>690</v>
      </c>
      <c r="W36" s="96">
        <f>(0*(((1-RemiseCoef!$B$4)*RemiseCoef!$B$6)))+(RemiseCoef!forfait)</f>
        <v>0</v>
      </c>
      <c r="X36" s="96">
        <f>(0*(((1-RemiseCoef!$B$4)*RemiseCoef!$B$6)))+(RemiseCoef!forfait)</f>
        <v>0</v>
      </c>
    </row>
    <row r="37" spans="1:24" ht="11.25" customHeight="1" x14ac:dyDescent="0.25">
      <c r="A37" s="54" t="s">
        <v>1</v>
      </c>
      <c r="B37" s="54"/>
      <c r="C37" s="54"/>
      <c r="D37" s="54"/>
      <c r="E37" s="54"/>
      <c r="F37" s="54"/>
      <c r="G37" s="54"/>
      <c r="H37" s="54"/>
      <c r="I37" s="96">
        <f>(0*(((1-RemiseCoef!$B$4)*RemiseCoef!$B$6)))+(RemiseCoef!forfait)</f>
        <v>0</v>
      </c>
      <c r="J37" s="96">
        <f>(0*(((1-RemiseCoef!$B$4)*RemiseCoef!$B$6)))+(RemiseCoef!forfait)</f>
        <v>0</v>
      </c>
      <c r="K37" s="96">
        <f>(0*(((1-RemiseCoef!$B$4)*RemiseCoef!$B$6)))+(RemiseCoef!forfait)</f>
        <v>0</v>
      </c>
      <c r="L37" s="9"/>
      <c r="M37" s="54" t="s">
        <v>39</v>
      </c>
      <c r="N37" s="54"/>
      <c r="O37" s="54"/>
      <c r="P37" s="54"/>
      <c r="Q37" s="54"/>
      <c r="R37" s="54"/>
      <c r="S37" s="54"/>
      <c r="T37" s="54"/>
      <c r="U37" s="54"/>
      <c r="V37" s="96">
        <f>(0*(((1-RemiseCoef!$B$4)*RemiseCoef!$B$6)))+(RemiseCoef!forfait)</f>
        <v>0</v>
      </c>
      <c r="W37" s="96">
        <f>(0*(((1-RemiseCoef!$B$4)*RemiseCoef!$B$6)))+(RemiseCoef!forfait)</f>
        <v>0</v>
      </c>
      <c r="X37" s="96">
        <f>(0*(((1-RemiseCoef!$B$4)*RemiseCoef!$B$6)))+(RemiseCoef!forfait)</f>
        <v>0</v>
      </c>
    </row>
    <row r="38" spans="1:24" ht="11.25" customHeight="1" x14ac:dyDescent="0.25">
      <c r="A38" s="80"/>
      <c r="B38" s="80"/>
      <c r="C38" s="80"/>
      <c r="D38" s="80"/>
      <c r="E38" s="80"/>
      <c r="F38" s="80"/>
      <c r="G38" s="80"/>
      <c r="H38" s="80"/>
      <c r="I38" s="80"/>
      <c r="J38" s="80"/>
      <c r="K38" s="80"/>
      <c r="L38" s="9"/>
      <c r="M38" s="80"/>
      <c r="N38" s="80"/>
      <c r="O38" s="80"/>
      <c r="P38" s="80"/>
      <c r="Q38" s="80"/>
      <c r="R38" s="80"/>
      <c r="S38" s="80"/>
      <c r="T38" s="80"/>
      <c r="U38" s="80"/>
      <c r="V38" s="80"/>
      <c r="W38" s="80"/>
      <c r="X38" s="80"/>
    </row>
    <row r="39" spans="1:24" ht="11.25" customHeight="1" x14ac:dyDescent="0.25">
      <c r="A39" s="80"/>
      <c r="B39" s="80"/>
      <c r="C39" s="80"/>
      <c r="D39" s="80"/>
      <c r="E39" s="80"/>
      <c r="F39" s="80"/>
      <c r="G39" s="80"/>
      <c r="H39" s="80"/>
      <c r="I39" s="80"/>
      <c r="J39" s="80"/>
      <c r="K39" s="80"/>
      <c r="L39" s="9"/>
      <c r="M39" s="80"/>
      <c r="N39" s="80"/>
      <c r="O39" s="80"/>
      <c r="P39" s="80"/>
      <c r="Q39" s="80"/>
      <c r="R39" s="80"/>
      <c r="S39" s="80"/>
      <c r="T39" s="80"/>
      <c r="U39" s="80"/>
      <c r="V39" s="80"/>
      <c r="W39" s="80"/>
      <c r="X39" s="80"/>
    </row>
    <row r="40" spans="1:24" ht="11.25" customHeight="1" x14ac:dyDescent="0.25">
      <c r="A40" s="9"/>
      <c r="B40" s="9"/>
      <c r="C40" s="9"/>
      <c r="D40" s="9"/>
      <c r="E40" s="9"/>
      <c r="F40" s="9"/>
      <c r="G40" s="9"/>
      <c r="H40" s="9"/>
      <c r="I40" s="9"/>
      <c r="J40" s="9"/>
      <c r="K40" s="9"/>
      <c r="L40" s="9"/>
      <c r="M40" s="9"/>
      <c r="N40" s="9"/>
      <c r="O40" s="9"/>
      <c r="P40" s="9"/>
      <c r="Q40" s="9"/>
      <c r="R40" s="9"/>
      <c r="S40" s="9"/>
      <c r="T40" s="9"/>
      <c r="U40" s="9"/>
      <c r="V40" s="9"/>
      <c r="W40" s="9"/>
      <c r="X40" s="9"/>
    </row>
    <row r="41" spans="1:24" ht="11.25" customHeight="1" x14ac:dyDescent="0.25">
      <c r="A41" s="9"/>
      <c r="B41" s="9"/>
      <c r="C41" s="9"/>
      <c r="D41" s="9"/>
      <c r="E41" s="9"/>
      <c r="F41" s="9"/>
      <c r="G41" s="9"/>
      <c r="H41" s="9"/>
      <c r="I41" s="9"/>
      <c r="J41" s="9"/>
      <c r="K41" s="9"/>
      <c r="L41" s="9"/>
      <c r="M41" s="9"/>
      <c r="N41" s="9"/>
      <c r="O41" s="9"/>
      <c r="P41" s="9"/>
      <c r="Q41" s="9"/>
      <c r="R41" s="9"/>
      <c r="S41" s="9"/>
      <c r="T41" s="9"/>
      <c r="U41" s="9"/>
      <c r="V41" s="9"/>
      <c r="W41" s="9"/>
      <c r="X41" s="9"/>
    </row>
    <row r="42" spans="1:24" ht="11.25" customHeight="1" x14ac:dyDescent="0.25">
      <c r="A42" s="9"/>
      <c r="B42" s="9"/>
      <c r="C42" s="9"/>
      <c r="D42" s="9"/>
      <c r="E42" s="9"/>
      <c r="F42" s="9"/>
      <c r="G42" s="9"/>
      <c r="H42" s="9"/>
      <c r="I42" s="9"/>
      <c r="J42" s="9"/>
      <c r="K42" s="9"/>
      <c r="L42" s="9"/>
      <c r="M42" s="9"/>
      <c r="N42" s="9"/>
      <c r="O42" s="9"/>
      <c r="P42" s="9"/>
      <c r="Q42" s="9"/>
      <c r="R42" s="9"/>
      <c r="S42" s="9"/>
      <c r="T42" s="9"/>
      <c r="U42" s="9"/>
      <c r="V42" s="9"/>
      <c r="W42" s="9"/>
      <c r="X42" s="9"/>
    </row>
    <row r="43" spans="1:24" ht="11.25" customHeight="1" x14ac:dyDescent="0.25">
      <c r="A43" s="9"/>
      <c r="B43" s="9"/>
      <c r="C43" s="9"/>
      <c r="D43" s="9"/>
      <c r="E43" s="9"/>
      <c r="F43" s="9"/>
      <c r="G43" s="9"/>
      <c r="H43" s="9"/>
      <c r="I43" s="9"/>
      <c r="J43" s="9"/>
      <c r="K43" s="9"/>
      <c r="L43" s="9"/>
      <c r="M43" s="9"/>
      <c r="N43" s="9"/>
      <c r="O43" s="9"/>
      <c r="P43" s="9"/>
      <c r="Q43" s="9"/>
      <c r="R43" s="9"/>
      <c r="S43" s="9"/>
      <c r="T43" s="9"/>
      <c r="U43" s="9"/>
      <c r="V43" s="9"/>
      <c r="W43" s="9"/>
      <c r="X43" s="9"/>
    </row>
    <row r="44" spans="1:24" ht="11.25" customHeight="1" x14ac:dyDescent="0.25">
      <c r="A44" s="9"/>
      <c r="B44" s="9"/>
      <c r="C44" s="9"/>
      <c r="D44" s="9"/>
      <c r="E44" s="9"/>
      <c r="F44" s="9"/>
      <c r="G44" s="9"/>
      <c r="H44" s="9"/>
      <c r="I44" s="9"/>
      <c r="J44" s="9"/>
      <c r="K44" s="9"/>
      <c r="L44" s="9"/>
      <c r="M44" s="9"/>
      <c r="N44" s="9"/>
      <c r="O44" s="9"/>
      <c r="P44" s="9"/>
      <c r="Q44" s="9"/>
      <c r="R44" s="9"/>
      <c r="S44" s="9"/>
      <c r="T44" s="9"/>
      <c r="U44" s="9"/>
      <c r="V44" s="9"/>
      <c r="W44" s="9"/>
      <c r="X44" s="9"/>
    </row>
    <row r="45" spans="1:24" ht="11.25" customHeight="1" x14ac:dyDescent="0.25">
      <c r="A45" s="9"/>
      <c r="B45" s="9"/>
      <c r="C45" s="9"/>
      <c r="D45" s="9"/>
      <c r="E45" s="9"/>
      <c r="F45" s="9"/>
      <c r="G45" s="9"/>
      <c r="H45" s="9"/>
      <c r="I45" s="9"/>
      <c r="J45" s="9"/>
      <c r="K45" s="9"/>
      <c r="L45" s="9"/>
      <c r="M45" s="9"/>
      <c r="N45" s="9"/>
      <c r="O45" s="9"/>
      <c r="P45" s="9"/>
      <c r="Q45" s="9"/>
      <c r="R45" s="9"/>
      <c r="S45" s="9"/>
      <c r="T45" s="9"/>
      <c r="U45" s="9"/>
      <c r="V45" s="9"/>
      <c r="W45" s="9"/>
      <c r="X45" s="9"/>
    </row>
    <row r="46" spans="1:24" ht="11.25" customHeight="1" x14ac:dyDescent="0.25">
      <c r="A46" s="9"/>
      <c r="B46" s="9"/>
      <c r="C46" s="9"/>
      <c r="D46" s="9"/>
      <c r="E46" s="9"/>
      <c r="F46" s="9"/>
      <c r="G46" s="9"/>
      <c r="H46" s="9"/>
      <c r="I46" s="9"/>
      <c r="J46" s="9"/>
      <c r="K46" s="9"/>
      <c r="L46" s="9"/>
      <c r="M46" s="9"/>
      <c r="N46" s="9"/>
      <c r="O46" s="9"/>
      <c r="P46" s="9"/>
      <c r="Q46" s="9"/>
      <c r="R46" s="9"/>
      <c r="S46" s="9"/>
      <c r="T46" s="9"/>
      <c r="U46" s="9"/>
      <c r="V46" s="9"/>
      <c r="W46" s="9"/>
      <c r="X46" s="9"/>
    </row>
    <row r="47" spans="1:24" ht="11.25" customHeight="1" x14ac:dyDescent="0.25">
      <c r="A47" s="9"/>
      <c r="B47" s="9"/>
      <c r="C47" s="9"/>
      <c r="D47" s="9"/>
      <c r="E47" s="9"/>
      <c r="F47" s="9">
        <v>942</v>
      </c>
      <c r="G47" s="9"/>
      <c r="H47" s="9"/>
      <c r="I47" s="9"/>
      <c r="J47" s="9"/>
      <c r="K47" s="9"/>
      <c r="L47" s="9"/>
      <c r="M47" s="9"/>
      <c r="N47" s="9"/>
      <c r="O47" s="9"/>
      <c r="P47" s="9"/>
      <c r="Q47" s="9"/>
      <c r="R47" s="9"/>
      <c r="S47" s="9"/>
      <c r="T47" s="9"/>
      <c r="U47" s="9"/>
      <c r="V47" s="9"/>
      <c r="W47" s="9"/>
      <c r="X47" s="9"/>
    </row>
    <row r="48" spans="1:24" ht="11.25" customHeight="1" x14ac:dyDescent="0.25">
      <c r="A48" s="9"/>
      <c r="B48" s="9"/>
      <c r="C48" s="9"/>
      <c r="D48" s="9"/>
      <c r="E48" s="9"/>
      <c r="F48" s="9"/>
      <c r="G48" s="9"/>
      <c r="H48" s="9"/>
      <c r="I48" s="9"/>
      <c r="J48" s="9"/>
      <c r="K48" s="9"/>
      <c r="L48" s="9"/>
      <c r="M48" s="9"/>
      <c r="N48" s="9"/>
      <c r="O48" s="9"/>
      <c r="P48" s="9"/>
      <c r="Q48" s="9"/>
      <c r="R48" s="9"/>
      <c r="S48" s="9"/>
      <c r="T48" s="9"/>
      <c r="U48" s="9"/>
      <c r="V48" s="9"/>
      <c r="W48" s="9"/>
      <c r="X48" s="9"/>
    </row>
    <row r="49" spans="1:24" ht="19.5" customHeight="1" x14ac:dyDescent="0.25">
      <c r="A49" s="81" t="s">
        <v>99</v>
      </c>
      <c r="B49" s="82"/>
      <c r="C49" s="82"/>
      <c r="D49" s="82"/>
      <c r="E49" s="82"/>
      <c r="F49" s="82"/>
      <c r="G49" s="82"/>
      <c r="H49" s="82"/>
      <c r="I49" s="82"/>
      <c r="J49" s="9"/>
      <c r="K49" s="9"/>
      <c r="L49" s="9"/>
      <c r="M49" s="81" t="s">
        <v>35</v>
      </c>
      <c r="N49" s="82"/>
      <c r="O49" s="82"/>
      <c r="P49" s="82"/>
      <c r="Q49" s="82"/>
      <c r="R49" s="82"/>
      <c r="S49" s="82"/>
      <c r="T49" s="82"/>
      <c r="U49" s="82"/>
      <c r="V49" s="82"/>
      <c r="W49" s="9"/>
      <c r="X49" s="9"/>
    </row>
    <row r="50" spans="1:24" ht="9" customHeight="1" x14ac:dyDescent="0.25">
      <c r="A50" s="9"/>
      <c r="B50" s="9"/>
      <c r="C50" s="9"/>
      <c r="D50" s="9"/>
      <c r="E50" s="9"/>
      <c r="F50" s="9"/>
      <c r="G50" s="9"/>
      <c r="H50" s="9"/>
      <c r="I50" s="96">
        <f>(770*(((1-RemiseCoef!$B$4)*RemiseCoef!$B$6)))</f>
        <v>770</v>
      </c>
      <c r="J50" s="96">
        <f>(0*(((1-RemiseCoef!$B$4)*RemiseCoef!$B$6)))+(RemiseCoef!forfait)</f>
        <v>0</v>
      </c>
      <c r="K50" s="96">
        <f>(0*(((1-RemiseCoef!$B$4)*RemiseCoef!$B$6)))+(RemiseCoef!forfait)</f>
        <v>0</v>
      </c>
      <c r="L50" s="9"/>
      <c r="M50" s="9"/>
      <c r="N50" s="9"/>
      <c r="O50" s="9"/>
      <c r="P50" s="9"/>
      <c r="Q50" s="9"/>
      <c r="R50" s="9"/>
      <c r="S50" s="9"/>
      <c r="T50" s="9"/>
      <c r="U50" s="9"/>
      <c r="V50" s="96">
        <f>(980*(((1-RemiseCoef!$B$4)*RemiseCoef!$B$6)))</f>
        <v>980</v>
      </c>
      <c r="W50" s="96">
        <f>(0*(((1-RemiseCoef!$B$4)*RemiseCoef!$B$6)))+(RemiseCoef!forfait)</f>
        <v>0</v>
      </c>
      <c r="X50" s="96">
        <f>(0*(((1-RemiseCoef!$B$4)*RemiseCoef!$B$6)))+(RemiseCoef!forfait)</f>
        <v>0</v>
      </c>
    </row>
    <row r="51" spans="1:24" ht="11.25" customHeight="1" x14ac:dyDescent="0.25">
      <c r="A51" s="83" t="s">
        <v>37</v>
      </c>
      <c r="B51" s="83"/>
      <c r="C51" s="83"/>
      <c r="D51" s="83"/>
      <c r="E51" s="83"/>
      <c r="F51" s="83"/>
      <c r="G51" s="83"/>
      <c r="H51" s="83"/>
      <c r="I51" s="96">
        <f>(0*(((1-RemiseCoef!$B$4)*RemiseCoef!$B$6)))+(RemiseCoef!forfait)</f>
        <v>0</v>
      </c>
      <c r="J51" s="96">
        <f>(0*(((1-RemiseCoef!$B$4)*RemiseCoef!$B$6)))+(RemiseCoef!forfait)</f>
        <v>0</v>
      </c>
      <c r="K51" s="96">
        <f>(0*(((1-RemiseCoef!$B$4)*RemiseCoef!$B$6)))+(RemiseCoef!forfait)</f>
        <v>0</v>
      </c>
      <c r="L51" s="9"/>
      <c r="M51" s="83" t="s">
        <v>36</v>
      </c>
      <c r="N51" s="83"/>
      <c r="O51" s="83"/>
      <c r="P51" s="83"/>
      <c r="Q51" s="83"/>
      <c r="R51" s="83"/>
      <c r="S51" s="83"/>
      <c r="T51" s="83"/>
      <c r="U51" s="83"/>
      <c r="V51" s="96">
        <f>(0*(((1-RemiseCoef!$B$4)*RemiseCoef!$B$6)))+(RemiseCoef!forfait)</f>
        <v>0</v>
      </c>
      <c r="W51" s="96">
        <f>(0*(((1-RemiseCoef!$B$4)*RemiseCoef!$B$6)))+(RemiseCoef!forfait)</f>
        <v>0</v>
      </c>
      <c r="X51" s="96">
        <f>(0*(((1-RemiseCoef!$B$4)*RemiseCoef!$B$6)))+(RemiseCoef!forfait)</f>
        <v>0</v>
      </c>
    </row>
    <row r="52" spans="1:24" ht="11.25" customHeight="1" x14ac:dyDescent="0.25">
      <c r="A52" s="80"/>
      <c r="B52" s="80"/>
      <c r="C52" s="80"/>
      <c r="D52" s="80"/>
      <c r="E52" s="80"/>
      <c r="F52" s="80"/>
      <c r="G52" s="80"/>
      <c r="H52" s="80"/>
      <c r="I52" s="80"/>
      <c r="J52" s="84"/>
      <c r="K52" s="84"/>
      <c r="L52" s="9"/>
      <c r="M52" s="80"/>
      <c r="N52" s="80"/>
      <c r="O52" s="80"/>
      <c r="P52" s="80"/>
      <c r="Q52" s="80"/>
      <c r="R52" s="80"/>
      <c r="S52" s="80"/>
      <c r="T52" s="80"/>
      <c r="U52" s="80"/>
      <c r="V52" s="80"/>
      <c r="W52" s="80"/>
      <c r="X52" s="80"/>
    </row>
    <row r="53" spans="1:24" ht="11.25" customHeight="1" x14ac:dyDescent="0.25">
      <c r="A53" s="23"/>
      <c r="B53" s="23"/>
      <c r="C53" s="23"/>
      <c r="D53" s="23"/>
      <c r="E53" s="23"/>
      <c r="F53" s="23"/>
      <c r="G53" s="23"/>
      <c r="H53" s="23"/>
      <c r="I53" s="23"/>
      <c r="J53" s="25"/>
      <c r="K53" s="25"/>
      <c r="M53" s="23"/>
      <c r="N53" s="23"/>
      <c r="O53" s="23"/>
      <c r="P53" s="23"/>
      <c r="Q53" s="23"/>
      <c r="R53" s="23"/>
      <c r="S53" s="23"/>
      <c r="T53" s="23"/>
      <c r="U53" s="23"/>
      <c r="V53" s="23"/>
      <c r="W53" s="23"/>
      <c r="X53" s="23"/>
    </row>
    <row r="54" spans="1:24" ht="11.25" customHeight="1" x14ac:dyDescent="0.25"/>
    <row r="55" spans="1:24" ht="11.25" customHeight="1" x14ac:dyDescent="0.25">
      <c r="P55" s="7" t="s">
        <v>96</v>
      </c>
    </row>
    <row r="56" spans="1:24" ht="11.25" customHeight="1" x14ac:dyDescent="0.25"/>
    <row r="57" spans="1:24" ht="11.25" customHeight="1" x14ac:dyDescent="0.25"/>
    <row r="58" spans="1:24" ht="11.25" customHeight="1" x14ac:dyDescent="0.25"/>
    <row r="59" spans="1:24" ht="11.25" customHeight="1" x14ac:dyDescent="0.25"/>
    <row r="60" spans="1:24" ht="10.5" customHeight="1" x14ac:dyDescent="0.25"/>
    <row r="61" spans="1:24" ht="10.5" customHeight="1" x14ac:dyDescent="0.25"/>
    <row r="62" spans="1:24" ht="10.5" customHeight="1" x14ac:dyDescent="0.25"/>
    <row r="63" spans="1:24" ht="10.5" customHeight="1" x14ac:dyDescent="0.25"/>
    <row r="64" spans="1:24" ht="10.5" customHeight="1" x14ac:dyDescent="0.25">
      <c r="A64" s="14"/>
    </row>
    <row r="65" spans="1:22" ht="10.5" customHeight="1" x14ac:dyDescent="0.25">
      <c r="A65" s="14"/>
    </row>
    <row r="66" spans="1:22" ht="10.5" customHeight="1" x14ac:dyDescent="0.25">
      <c r="A66" s="14"/>
    </row>
    <row r="67" spans="1:22" ht="12" customHeight="1" x14ac:dyDescent="0.25"/>
    <row r="68" spans="1:22" ht="12.75" customHeight="1" x14ac:dyDescent="0.25">
      <c r="A68" s="14"/>
      <c r="F68" s="26" t="s">
        <v>97</v>
      </c>
      <c r="G68" s="27"/>
      <c r="H68" s="27"/>
      <c r="I68" s="27"/>
      <c r="J68" s="27"/>
      <c r="K68" s="28" t="s">
        <v>45</v>
      </c>
      <c r="L68" s="14"/>
      <c r="M68" s="26" t="s">
        <v>98</v>
      </c>
      <c r="N68" s="27"/>
      <c r="O68" s="27"/>
      <c r="P68" s="27"/>
      <c r="Q68" s="27"/>
      <c r="R68" s="28" t="s">
        <v>110</v>
      </c>
    </row>
    <row r="69" spans="1:22" ht="11.25" customHeight="1" x14ac:dyDescent="0.25"/>
    <row r="70" spans="1:22" ht="11.25" customHeight="1" x14ac:dyDescent="0.25"/>
    <row r="71" spans="1:22" ht="11.25" customHeight="1" x14ac:dyDescent="0.25"/>
    <row r="72" spans="1:22" ht="11.25" customHeight="1" x14ac:dyDescent="0.25"/>
    <row r="73" spans="1:22" ht="11.25" customHeight="1" x14ac:dyDescent="0.25"/>
    <row r="74" spans="1:22" ht="11.25" customHeight="1" x14ac:dyDescent="0.25"/>
    <row r="75" spans="1:22" ht="11.25" customHeight="1" x14ac:dyDescent="0.25"/>
    <row r="76" spans="1:22" ht="12.75" customHeight="1" x14ac:dyDescent="0.25"/>
    <row r="77" spans="1:22" ht="6" customHeight="1" x14ac:dyDescent="0.25"/>
    <row r="78" spans="1:22" s="22" customFormat="1" ht="12.75" customHeight="1" x14ac:dyDescent="0.2">
      <c r="A78" s="24"/>
      <c r="B78" s="24"/>
      <c r="C78" s="24"/>
      <c r="D78" s="24"/>
      <c r="E78" s="24"/>
      <c r="F78" s="24"/>
      <c r="G78" s="24"/>
      <c r="H78" s="24"/>
      <c r="I78" s="24"/>
      <c r="N78" s="24"/>
      <c r="O78" s="24"/>
      <c r="P78" s="24"/>
      <c r="Q78" s="24"/>
      <c r="R78" s="24"/>
      <c r="S78" s="24"/>
      <c r="T78" s="24"/>
      <c r="U78" s="24"/>
      <c r="V78" s="24"/>
    </row>
    <row r="79" spans="1:22" ht="12.75" customHeight="1" x14ac:dyDescent="0.25">
      <c r="A79" s="18"/>
      <c r="B79" s="13"/>
      <c r="C79" s="13"/>
      <c r="D79" s="13"/>
      <c r="E79" s="13"/>
      <c r="F79" s="13"/>
      <c r="G79" s="13"/>
      <c r="H79" s="13"/>
      <c r="I79" s="13"/>
      <c r="J79" s="13"/>
      <c r="K79" s="13"/>
      <c r="L79" s="13"/>
      <c r="M79" s="13"/>
      <c r="N79" s="18"/>
      <c r="O79" s="13"/>
      <c r="P79" s="13"/>
      <c r="Q79" s="13"/>
      <c r="R79" s="13"/>
      <c r="S79" s="13"/>
      <c r="T79" s="13"/>
      <c r="U79" s="13"/>
      <c r="V79" s="13"/>
    </row>
    <row r="80" spans="1:22" ht="12.75" customHeight="1" x14ac:dyDescent="0.25">
      <c r="A80" s="29"/>
      <c r="B80" s="29"/>
      <c r="C80" s="29"/>
      <c r="D80" s="29"/>
      <c r="E80" s="29"/>
      <c r="F80" s="29"/>
      <c r="G80" s="29"/>
      <c r="H80" s="30"/>
      <c r="I80" s="30"/>
      <c r="J80" s="13"/>
      <c r="K80" s="13"/>
      <c r="L80" s="13"/>
      <c r="M80" s="13"/>
      <c r="N80" s="29"/>
      <c r="O80" s="29"/>
      <c r="P80" s="29"/>
      <c r="Q80" s="29"/>
      <c r="R80" s="29"/>
      <c r="S80" s="29"/>
      <c r="T80" s="29"/>
      <c r="U80" s="30"/>
      <c r="V80" s="30"/>
    </row>
    <row r="81" spans="1:22" ht="12.75" customHeight="1" x14ac:dyDescent="0.25">
      <c r="A81" s="18"/>
      <c r="B81" s="13"/>
      <c r="C81" s="13"/>
      <c r="D81" s="13"/>
      <c r="E81" s="13"/>
      <c r="F81" s="13"/>
      <c r="G81" s="13"/>
      <c r="H81" s="13"/>
      <c r="I81" s="13"/>
      <c r="J81" s="13"/>
      <c r="K81" s="13"/>
      <c r="L81" s="13"/>
      <c r="M81" s="13"/>
      <c r="N81" s="18"/>
      <c r="O81" s="13"/>
      <c r="P81" s="13"/>
      <c r="Q81" s="13"/>
      <c r="R81" s="13"/>
      <c r="S81" s="13"/>
      <c r="T81" s="13"/>
      <c r="U81" s="13"/>
      <c r="V81" s="13"/>
    </row>
    <row r="82" spans="1:22" ht="12.75" customHeight="1" x14ac:dyDescent="0.25">
      <c r="A82" s="29"/>
      <c r="B82" s="29"/>
      <c r="C82" s="29"/>
      <c r="D82" s="29"/>
      <c r="E82" s="29"/>
      <c r="F82" s="29"/>
      <c r="G82" s="29"/>
      <c r="H82" s="30"/>
      <c r="I82" s="30"/>
      <c r="J82" s="13"/>
      <c r="K82" s="13"/>
      <c r="L82" s="13"/>
      <c r="M82" s="13"/>
      <c r="N82" s="29"/>
      <c r="O82" s="29"/>
      <c r="P82" s="29"/>
      <c r="Q82" s="29"/>
      <c r="R82" s="29"/>
      <c r="S82" s="29"/>
      <c r="T82" s="29"/>
      <c r="U82" s="30"/>
      <c r="V82" s="30"/>
    </row>
    <row r="83" spans="1:22" ht="12.75" customHeight="1" x14ac:dyDescent="0.25">
      <c r="A83" s="31"/>
      <c r="B83" s="31"/>
      <c r="C83" s="31"/>
      <c r="D83" s="31"/>
      <c r="E83" s="31"/>
      <c r="F83" s="31"/>
      <c r="G83" s="31"/>
      <c r="H83" s="32"/>
      <c r="I83" s="32"/>
      <c r="J83" s="13"/>
      <c r="K83" s="13"/>
      <c r="L83" s="13"/>
      <c r="M83" s="13"/>
      <c r="N83" s="31"/>
      <c r="O83" s="31"/>
      <c r="P83" s="31"/>
      <c r="Q83" s="31"/>
      <c r="R83" s="31"/>
      <c r="S83" s="31"/>
      <c r="T83" s="31"/>
      <c r="U83" s="32"/>
      <c r="V83" s="32"/>
    </row>
    <row r="84" spans="1:22" ht="12.75" customHeight="1" x14ac:dyDescent="0.25">
      <c r="A84" s="29"/>
      <c r="B84" s="29"/>
      <c r="C84" s="29"/>
      <c r="D84" s="29"/>
      <c r="E84" s="29"/>
      <c r="F84" s="29"/>
      <c r="G84" s="29"/>
      <c r="H84" s="30"/>
      <c r="I84" s="30"/>
      <c r="J84" s="13"/>
      <c r="K84" s="13"/>
      <c r="L84" s="13"/>
      <c r="M84" s="13"/>
      <c r="N84" s="13"/>
      <c r="O84" s="13"/>
      <c r="P84" s="13"/>
      <c r="Q84" s="13"/>
      <c r="R84" s="13"/>
      <c r="S84" s="13"/>
      <c r="T84" s="13"/>
      <c r="U84" s="13"/>
      <c r="V84" s="13"/>
    </row>
    <row r="85" spans="1:22" ht="12.75" customHeight="1" x14ac:dyDescent="0.25">
      <c r="A85" s="13"/>
      <c r="B85" s="13"/>
      <c r="C85" s="13"/>
      <c r="D85" s="13"/>
      <c r="E85" s="13"/>
      <c r="F85" s="13"/>
      <c r="G85" s="13"/>
      <c r="H85" s="13"/>
      <c r="I85" s="13"/>
      <c r="J85" s="13"/>
      <c r="K85" s="13"/>
      <c r="L85" s="13"/>
      <c r="M85" s="13"/>
      <c r="N85" s="24"/>
      <c r="O85" s="24"/>
      <c r="P85" s="24"/>
      <c r="Q85" s="24"/>
      <c r="R85" s="24"/>
      <c r="S85" s="24"/>
      <c r="T85" s="24"/>
      <c r="U85" s="24"/>
      <c r="V85" s="24"/>
    </row>
    <row r="86" spans="1:22" ht="12.75" customHeight="1" x14ac:dyDescent="0.25">
      <c r="A86" s="24"/>
      <c r="B86" s="33"/>
      <c r="C86" s="33"/>
      <c r="D86" s="33"/>
      <c r="E86" s="33"/>
      <c r="F86" s="33"/>
      <c r="G86" s="33"/>
      <c r="H86" s="33"/>
      <c r="I86" s="33"/>
      <c r="J86" s="13"/>
      <c r="K86" s="13"/>
      <c r="L86" s="13"/>
      <c r="M86" s="13"/>
      <c r="N86" s="18"/>
      <c r="O86" s="13"/>
      <c r="P86" s="13"/>
      <c r="Q86" s="13"/>
      <c r="R86" s="13"/>
      <c r="S86" s="13"/>
      <c r="T86" s="13"/>
      <c r="U86" s="13"/>
      <c r="V86" s="13"/>
    </row>
    <row r="87" spans="1:22" ht="12.75" customHeight="1" x14ac:dyDescent="0.25">
      <c r="A87" s="31"/>
      <c r="B87" s="31"/>
      <c r="C87" s="31"/>
      <c r="D87" s="31"/>
      <c r="E87" s="31"/>
      <c r="F87" s="31"/>
      <c r="G87" s="31"/>
      <c r="H87" s="13"/>
      <c r="I87" s="13"/>
      <c r="J87" s="13"/>
      <c r="K87" s="13"/>
      <c r="L87" s="13"/>
      <c r="M87" s="13"/>
      <c r="N87" s="34"/>
      <c r="O87" s="34"/>
      <c r="P87" s="34"/>
      <c r="Q87" s="34"/>
      <c r="R87" s="34"/>
      <c r="S87" s="34"/>
      <c r="T87" s="34"/>
      <c r="U87" s="30"/>
      <c r="V87" s="30"/>
    </row>
    <row r="88" spans="1:22" ht="12.75" customHeight="1" x14ac:dyDescent="0.25">
      <c r="A88" s="31"/>
      <c r="B88" s="31"/>
      <c r="C88" s="31"/>
      <c r="D88" s="31"/>
      <c r="E88" s="31"/>
      <c r="F88" s="31"/>
      <c r="G88" s="31"/>
      <c r="H88" s="13"/>
      <c r="I88" s="13"/>
      <c r="J88" s="13"/>
      <c r="K88" s="13"/>
      <c r="L88" s="13"/>
      <c r="M88" s="13"/>
      <c r="N88" s="34"/>
      <c r="O88" s="34"/>
      <c r="P88" s="34"/>
      <c r="Q88" s="34"/>
      <c r="R88" s="34"/>
      <c r="S88" s="34"/>
      <c r="T88" s="34"/>
      <c r="U88" s="30"/>
      <c r="V88" s="30"/>
    </row>
    <row r="89" spans="1:22" ht="12.75" customHeight="1" x14ac:dyDescent="0.25">
      <c r="A89" s="13"/>
      <c r="B89" s="13"/>
      <c r="C89" s="13"/>
      <c r="D89" s="13"/>
      <c r="E89" s="13"/>
      <c r="F89" s="13"/>
      <c r="G89" s="13"/>
      <c r="H89" s="13"/>
      <c r="I89" s="13"/>
      <c r="J89" s="13"/>
      <c r="K89" s="13"/>
      <c r="L89" s="13"/>
      <c r="M89" s="13"/>
      <c r="N89" s="18"/>
    </row>
    <row r="90" spans="1:22" ht="12.75" customHeight="1" x14ac:dyDescent="0.25">
      <c r="A90" s="13"/>
      <c r="B90" s="13"/>
      <c r="C90" s="13"/>
      <c r="D90" s="13"/>
      <c r="E90" s="13"/>
      <c r="F90" s="13"/>
      <c r="G90" s="13"/>
      <c r="H90" s="13"/>
      <c r="I90" s="13"/>
      <c r="J90" s="13"/>
      <c r="K90" s="13"/>
      <c r="L90" s="13"/>
      <c r="M90" s="13"/>
      <c r="N90" s="29"/>
      <c r="O90" s="29"/>
      <c r="P90" s="29"/>
      <c r="Q90" s="29"/>
      <c r="R90" s="29"/>
      <c r="S90" s="29"/>
      <c r="T90" s="29"/>
      <c r="U90" s="30"/>
      <c r="V90" s="30"/>
    </row>
    <row r="91" spans="1:22" x14ac:dyDescent="0.25">
      <c r="A91" s="35"/>
      <c r="B91" s="13"/>
      <c r="C91" s="13"/>
      <c r="D91" s="13"/>
      <c r="E91" s="13"/>
      <c r="F91" s="13"/>
      <c r="G91" s="13"/>
      <c r="H91" s="13"/>
      <c r="I91" s="13"/>
      <c r="J91" s="13"/>
      <c r="K91" s="13"/>
      <c r="L91" s="13"/>
      <c r="M91" s="13"/>
      <c r="N91" s="13"/>
      <c r="O91" s="13"/>
      <c r="P91" s="13"/>
      <c r="Q91" s="13"/>
      <c r="R91" s="13"/>
      <c r="S91" s="13"/>
      <c r="T91" s="13"/>
      <c r="U91" s="13"/>
      <c r="V91" s="13"/>
    </row>
    <row r="92" spans="1:22" x14ac:dyDescent="0.25">
      <c r="A92" s="36"/>
      <c r="B92" s="13"/>
      <c r="C92" s="13"/>
      <c r="D92" s="13"/>
      <c r="E92" s="13"/>
      <c r="F92" s="13"/>
      <c r="G92" s="13"/>
      <c r="H92" s="13"/>
      <c r="I92" s="13"/>
      <c r="J92" s="13"/>
      <c r="K92" s="13"/>
      <c r="L92" s="13"/>
      <c r="M92" s="13"/>
      <c r="N92" s="13"/>
      <c r="O92" s="13"/>
      <c r="P92" s="13"/>
      <c r="Q92" s="13"/>
      <c r="R92" s="13"/>
      <c r="S92" s="13"/>
      <c r="T92" s="13"/>
      <c r="U92" s="13"/>
      <c r="V92" s="13"/>
    </row>
  </sheetData>
  <sheetProtection algorithmName="SHA-512" hashValue="kfpv2p03pEJ1aIIKv4M3kNFkc8XTGjD6BwEinJIvhWFNW671PxWwSHoj1aC4Aqhu9Q6h9NU1kTo1wBzAU2CxNg==" saltValue="0YUsQMyKWNu0GE1Sm55AVw==" spinCount="100000" sheet="1" objects="1" scenarios="1" selectLockedCells="1" selectUnlockedCells="1"/>
  <mergeCells count="5">
    <mergeCell ref="A11:V12"/>
    <mergeCell ref="I36:K37"/>
    <mergeCell ref="V36:X37"/>
    <mergeCell ref="V50:X51"/>
    <mergeCell ref="I50:K51"/>
  </mergeCells>
  <conditionalFormatting sqref="B17:X31">
    <cfRule type="expression" dxfId="6" priority="1">
      <formula>MOD(ROW(),2)=0</formula>
    </cfRule>
  </conditionalFormatting>
  <pageMargins left="0.47244094488188981" right="0" top="0.39370078740157483" bottom="0.3937007874015748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B35FC-2A0A-4B7C-8AF8-0C53DE480BC2}">
  <sheetPr codeName="Feuil3"/>
  <dimension ref="A1:X103"/>
  <sheetViews>
    <sheetView view="pageBreakPreview" topLeftCell="A4" zoomScale="115" zoomScaleNormal="100" zoomScaleSheetLayoutView="115" workbookViewId="0">
      <selection activeCell="Q54" sqref="Q54"/>
    </sheetView>
  </sheetViews>
  <sheetFormatPr baseColWidth="10" defaultRowHeight="15" x14ac:dyDescent="0.25"/>
  <cols>
    <col min="1" max="1" width="5.140625" style="7" customWidth="1"/>
    <col min="2" max="24" width="4" style="7" customWidth="1"/>
    <col min="25" max="16384" width="11.42578125" style="7"/>
  </cols>
  <sheetData>
    <row r="1" spans="1:24" ht="19.5" customHeight="1" x14ac:dyDescent="0.35">
      <c r="A1" s="46" t="s">
        <v>121</v>
      </c>
      <c r="B1" s="47"/>
      <c r="C1" s="47"/>
      <c r="D1" s="47"/>
      <c r="E1" s="47"/>
      <c r="F1" s="47"/>
      <c r="G1" s="47"/>
      <c r="H1" s="47"/>
      <c r="I1" s="47"/>
      <c r="J1" s="47"/>
      <c r="K1" s="47"/>
      <c r="L1" s="47"/>
      <c r="M1" s="47"/>
      <c r="N1" s="47"/>
      <c r="O1" s="47"/>
      <c r="P1" s="47"/>
      <c r="Q1" s="47"/>
      <c r="R1" s="47"/>
      <c r="S1" s="47"/>
      <c r="T1" s="47"/>
      <c r="U1" s="47"/>
      <c r="V1" s="47"/>
      <c r="W1" s="47"/>
      <c r="X1" s="48" t="s">
        <v>20</v>
      </c>
    </row>
    <row r="2" spans="1:24" ht="11.25" customHeight="1" x14ac:dyDescent="0.25">
      <c r="A2" s="9"/>
      <c r="B2" s="9"/>
      <c r="C2" s="9"/>
      <c r="D2" s="9"/>
      <c r="E2" s="9"/>
      <c r="F2" s="9"/>
      <c r="G2" s="9"/>
      <c r="H2" s="9"/>
      <c r="I2" s="9"/>
      <c r="J2" s="9"/>
      <c r="K2" s="9"/>
      <c r="L2" s="9"/>
      <c r="M2" s="9"/>
      <c r="N2" s="9"/>
      <c r="O2" s="9"/>
      <c r="P2" s="9"/>
      <c r="Q2" s="9"/>
      <c r="R2" s="9"/>
      <c r="S2" s="9"/>
      <c r="T2" s="9"/>
      <c r="U2" s="9"/>
      <c r="V2" s="9"/>
      <c r="W2" s="9"/>
      <c r="X2" s="9"/>
    </row>
    <row r="3" spans="1:24" ht="12.75" customHeight="1" x14ac:dyDescent="0.25">
      <c r="A3" s="9"/>
      <c r="B3" s="9"/>
      <c r="C3" s="9"/>
      <c r="D3" s="9"/>
      <c r="E3" s="9"/>
      <c r="F3" s="9"/>
      <c r="G3" s="9"/>
      <c r="H3" s="9"/>
      <c r="I3" s="9"/>
      <c r="J3" s="9"/>
      <c r="K3" s="9"/>
      <c r="L3" s="9"/>
      <c r="M3" s="9"/>
      <c r="N3" s="9"/>
      <c r="O3" s="9"/>
      <c r="P3" s="9"/>
      <c r="Q3" s="9"/>
      <c r="R3" s="9"/>
      <c r="S3" s="9"/>
      <c r="T3" s="9"/>
      <c r="U3" s="9"/>
      <c r="V3" s="9"/>
      <c r="W3" s="9"/>
      <c r="X3" s="9"/>
    </row>
    <row r="4" spans="1:24" ht="12.75" customHeight="1" x14ac:dyDescent="0.25">
      <c r="A4" s="9"/>
      <c r="B4" s="9"/>
      <c r="C4" s="9"/>
      <c r="D4" s="9"/>
      <c r="E4" s="9"/>
      <c r="F4" s="9"/>
      <c r="G4" s="9"/>
      <c r="H4" s="9"/>
      <c r="I4" s="9"/>
      <c r="J4" s="9"/>
      <c r="K4" s="9"/>
      <c r="L4" s="9"/>
      <c r="M4" s="9"/>
      <c r="N4" s="9"/>
      <c r="O4" s="9"/>
      <c r="P4" s="9"/>
      <c r="Q4" s="9"/>
      <c r="R4" s="9"/>
      <c r="S4" s="9"/>
      <c r="T4" s="9"/>
      <c r="U4" s="9"/>
      <c r="V4" s="9"/>
      <c r="W4" s="9"/>
      <c r="X4" s="9"/>
    </row>
    <row r="5" spans="1:24" ht="12.75" customHeight="1" x14ac:dyDescent="0.25">
      <c r="A5" s="9"/>
      <c r="B5" s="9"/>
      <c r="C5" s="9"/>
      <c r="D5" s="9"/>
      <c r="E5" s="9"/>
      <c r="F5" s="9"/>
      <c r="G5" s="9"/>
      <c r="H5" s="9"/>
      <c r="I5" s="9"/>
      <c r="J5" s="9"/>
      <c r="K5" s="9"/>
      <c r="L5" s="9"/>
      <c r="M5" s="9"/>
      <c r="N5" s="9"/>
      <c r="O5" s="9"/>
      <c r="P5" s="9"/>
      <c r="Q5" s="9"/>
      <c r="R5" s="9"/>
      <c r="S5" s="9"/>
      <c r="T5" s="9"/>
      <c r="U5" s="9"/>
      <c r="V5" s="9"/>
      <c r="W5" s="9"/>
      <c r="X5" s="9"/>
    </row>
    <row r="6" spans="1:24" ht="12.75" customHeight="1" x14ac:dyDescent="0.25">
      <c r="A6" s="9"/>
      <c r="B6" s="9"/>
      <c r="C6" s="9"/>
      <c r="D6" s="9"/>
      <c r="E6" s="9"/>
      <c r="F6" s="9"/>
      <c r="G6" s="9"/>
      <c r="H6" s="9"/>
      <c r="I6" s="9"/>
      <c r="J6" s="9"/>
      <c r="K6" s="9"/>
      <c r="L6" s="9"/>
      <c r="M6" s="9"/>
      <c r="N6" s="9"/>
      <c r="O6" s="9"/>
      <c r="P6" s="9"/>
      <c r="Q6" s="9"/>
      <c r="R6" s="9"/>
      <c r="S6" s="9"/>
      <c r="T6" s="9"/>
      <c r="U6" s="9"/>
      <c r="V6" s="9"/>
      <c r="W6" s="9"/>
      <c r="X6" s="9"/>
    </row>
    <row r="7" spans="1:24" ht="12.75" customHeight="1" x14ac:dyDescent="0.25">
      <c r="A7" s="9"/>
      <c r="B7" s="9"/>
      <c r="C7" s="9"/>
      <c r="D7" s="9"/>
      <c r="E7" s="9"/>
      <c r="F7" s="9"/>
      <c r="G7" s="9"/>
      <c r="H7" s="9"/>
      <c r="I7" s="9"/>
      <c r="J7" s="9"/>
      <c r="K7" s="9"/>
      <c r="L7" s="9"/>
      <c r="M7" s="9"/>
      <c r="N7" s="9"/>
      <c r="O7" s="9"/>
      <c r="P7" s="9"/>
      <c r="Q7" s="9"/>
      <c r="R7" s="9"/>
      <c r="S7" s="9"/>
      <c r="T7" s="9"/>
      <c r="U7" s="9"/>
      <c r="V7" s="9"/>
      <c r="W7" s="9"/>
      <c r="X7" s="9"/>
    </row>
    <row r="8" spans="1:24" ht="12.75" customHeight="1" x14ac:dyDescent="0.25">
      <c r="A8" s="9"/>
      <c r="B8" s="9"/>
      <c r="C8" s="9"/>
      <c r="D8" s="9"/>
      <c r="E8" s="9"/>
      <c r="F8" s="9"/>
      <c r="G8" s="9"/>
      <c r="H8" s="9"/>
      <c r="I8" s="9"/>
      <c r="J8" s="9"/>
      <c r="K8" s="9"/>
      <c r="L8" s="9"/>
      <c r="M8" s="9"/>
      <c r="N8" s="9"/>
      <c r="O8" s="9"/>
      <c r="P8" s="9"/>
      <c r="Q8" s="9"/>
      <c r="R8" s="9"/>
      <c r="S8" s="9"/>
      <c r="T8" s="9"/>
      <c r="U8" s="9"/>
      <c r="V8" s="9"/>
      <c r="W8" s="9"/>
      <c r="X8" s="9"/>
    </row>
    <row r="9" spans="1:24" ht="6.75" customHeight="1" x14ac:dyDescent="0.25">
      <c r="A9" s="9"/>
      <c r="B9" s="9"/>
      <c r="C9" s="9"/>
      <c r="D9" s="9"/>
      <c r="E9" s="9"/>
      <c r="F9" s="9"/>
      <c r="G9" s="9"/>
      <c r="H9" s="9"/>
      <c r="I9" s="9"/>
      <c r="J9" s="9"/>
      <c r="K9" s="9"/>
      <c r="L9" s="9"/>
      <c r="M9" s="9"/>
      <c r="N9" s="9"/>
      <c r="O9" s="9"/>
      <c r="P9" s="9"/>
      <c r="Q9" s="9"/>
      <c r="R9" s="9"/>
      <c r="S9" s="9"/>
      <c r="T9" s="9"/>
      <c r="U9" s="9"/>
      <c r="V9" s="9"/>
      <c r="W9" s="9"/>
      <c r="X9" s="9"/>
    </row>
    <row r="10" spans="1:24" ht="19.5" customHeight="1" x14ac:dyDescent="0.3">
      <c r="A10" s="60" t="s">
        <v>34</v>
      </c>
      <c r="B10" s="61"/>
      <c r="C10" s="61"/>
      <c r="D10" s="61"/>
      <c r="E10" s="61"/>
      <c r="F10" s="61"/>
      <c r="G10" s="61"/>
      <c r="H10" s="61"/>
      <c r="I10" s="61"/>
      <c r="J10" s="61"/>
      <c r="K10" s="61"/>
      <c r="L10" s="61"/>
      <c r="M10" s="61"/>
      <c r="N10" s="61"/>
      <c r="O10" s="61"/>
      <c r="P10" s="61"/>
      <c r="Q10" s="61"/>
      <c r="R10" s="61"/>
      <c r="S10" s="61"/>
      <c r="T10" s="61"/>
      <c r="U10" s="61"/>
      <c r="V10" s="61"/>
      <c r="W10" s="61"/>
      <c r="X10" s="61"/>
    </row>
    <row r="11" spans="1:24" ht="21" customHeight="1" x14ac:dyDescent="0.25">
      <c r="A11" s="95" t="s">
        <v>90</v>
      </c>
      <c r="B11" s="95"/>
      <c r="C11" s="95"/>
      <c r="D11" s="95"/>
      <c r="E11" s="95"/>
      <c r="F11" s="95"/>
      <c r="G11" s="95"/>
      <c r="H11" s="95"/>
      <c r="I11" s="95"/>
      <c r="J11" s="95"/>
      <c r="K11" s="95"/>
      <c r="L11" s="95"/>
      <c r="M11" s="95"/>
      <c r="N11" s="95"/>
      <c r="O11" s="95"/>
      <c r="P11" s="95"/>
      <c r="Q11" s="95"/>
      <c r="R11" s="95"/>
      <c r="S11" s="95"/>
      <c r="T11" s="95"/>
      <c r="U11" s="95"/>
      <c r="V11" s="95"/>
      <c r="W11" s="51"/>
      <c r="X11" s="51"/>
    </row>
    <row r="12" spans="1:24" ht="21" customHeight="1" x14ac:dyDescent="0.25">
      <c r="A12" s="95"/>
      <c r="B12" s="95"/>
      <c r="C12" s="95"/>
      <c r="D12" s="95"/>
      <c r="E12" s="95"/>
      <c r="F12" s="95"/>
      <c r="G12" s="95"/>
      <c r="H12" s="95"/>
      <c r="I12" s="95"/>
      <c r="J12" s="95"/>
      <c r="K12" s="95"/>
      <c r="L12" s="95"/>
      <c r="M12" s="95"/>
      <c r="N12" s="95"/>
      <c r="O12" s="95"/>
      <c r="P12" s="95"/>
      <c r="Q12" s="95"/>
      <c r="R12" s="95"/>
      <c r="S12" s="95"/>
      <c r="T12" s="95"/>
      <c r="U12" s="95"/>
      <c r="V12" s="95"/>
      <c r="W12" s="51"/>
      <c r="X12" s="51"/>
    </row>
    <row r="13" spans="1:24" ht="4.5" customHeight="1" x14ac:dyDescent="0.25">
      <c r="A13" s="9"/>
      <c r="B13" s="9"/>
      <c r="C13" s="9"/>
      <c r="D13" s="9"/>
      <c r="E13" s="9"/>
      <c r="F13" s="9"/>
      <c r="G13" s="9"/>
      <c r="H13" s="9"/>
      <c r="I13" s="9"/>
      <c r="J13" s="9"/>
      <c r="K13" s="9"/>
      <c r="L13" s="9"/>
      <c r="M13" s="9"/>
      <c r="N13" s="9"/>
      <c r="O13" s="9"/>
      <c r="P13" s="9"/>
      <c r="Q13" s="9"/>
      <c r="R13" s="9"/>
      <c r="S13" s="9"/>
      <c r="T13" s="9"/>
      <c r="U13" s="9"/>
      <c r="V13" s="9"/>
      <c r="W13" s="9"/>
      <c r="X13" s="9"/>
    </row>
    <row r="14" spans="1:24" x14ac:dyDescent="0.25">
      <c r="A14" s="52" t="s">
        <v>83</v>
      </c>
      <c r="B14" s="9"/>
      <c r="C14" s="9"/>
      <c r="D14" s="9"/>
      <c r="E14" s="9"/>
      <c r="F14" s="9"/>
      <c r="G14" s="9"/>
      <c r="H14" s="9"/>
      <c r="I14" s="9"/>
      <c r="J14" s="9"/>
      <c r="K14" s="9"/>
      <c r="L14" s="9"/>
      <c r="M14" s="9"/>
      <c r="N14" s="9"/>
      <c r="O14" s="9"/>
      <c r="P14" s="9"/>
      <c r="Q14" s="9"/>
      <c r="R14" s="9"/>
      <c r="S14" s="9"/>
      <c r="T14" s="9"/>
      <c r="U14" s="9"/>
      <c r="V14" s="9"/>
      <c r="W14" s="9"/>
      <c r="X14" s="9"/>
    </row>
    <row r="15" spans="1:24" ht="11.25" customHeight="1" x14ac:dyDescent="0.25">
      <c r="A15" s="8" t="s">
        <v>16</v>
      </c>
      <c r="B15" s="53"/>
      <c r="C15" s="9"/>
      <c r="D15" s="9"/>
      <c r="E15" s="9"/>
      <c r="F15" s="9"/>
      <c r="G15" s="9"/>
      <c r="H15" s="9"/>
      <c r="I15" s="9"/>
      <c r="J15" s="9"/>
      <c r="K15" s="9"/>
      <c r="L15" s="9"/>
      <c r="M15" s="9"/>
      <c r="N15" s="9"/>
      <c r="O15" s="9"/>
      <c r="P15" s="9"/>
      <c r="Q15" s="9"/>
      <c r="R15" s="9"/>
      <c r="S15" s="9"/>
      <c r="T15" s="9"/>
      <c r="U15" s="9"/>
      <c r="V15" s="9"/>
      <c r="W15" s="9"/>
      <c r="X15" s="9"/>
    </row>
    <row r="16" spans="1:24" ht="11.25" customHeight="1" x14ac:dyDescent="0.25">
      <c r="A16" s="62" t="s">
        <v>13</v>
      </c>
      <c r="B16" s="62">
        <v>1800</v>
      </c>
      <c r="C16" s="62">
        <f>B16+100</f>
        <v>1900</v>
      </c>
      <c r="D16" s="62">
        <f t="shared" ref="D16:W16" si="0">C16+100</f>
        <v>2000</v>
      </c>
      <c r="E16" s="62">
        <f t="shared" si="0"/>
        <v>2100</v>
      </c>
      <c r="F16" s="62">
        <f t="shared" si="0"/>
        <v>2200</v>
      </c>
      <c r="G16" s="62">
        <f t="shared" si="0"/>
        <v>2300</v>
      </c>
      <c r="H16" s="62">
        <f t="shared" si="0"/>
        <v>2400</v>
      </c>
      <c r="I16" s="62">
        <f t="shared" si="0"/>
        <v>2500</v>
      </c>
      <c r="J16" s="62">
        <f t="shared" si="0"/>
        <v>2600</v>
      </c>
      <c r="K16" s="62">
        <f t="shared" si="0"/>
        <v>2700</v>
      </c>
      <c r="L16" s="62">
        <f t="shared" si="0"/>
        <v>2800</v>
      </c>
      <c r="M16" s="62">
        <f t="shared" si="0"/>
        <v>2900</v>
      </c>
      <c r="N16" s="62">
        <f t="shared" si="0"/>
        <v>3000</v>
      </c>
      <c r="O16" s="62">
        <f t="shared" si="0"/>
        <v>3100</v>
      </c>
      <c r="P16" s="62">
        <f t="shared" si="0"/>
        <v>3200</v>
      </c>
      <c r="Q16" s="62">
        <f t="shared" si="0"/>
        <v>3300</v>
      </c>
      <c r="R16" s="62">
        <f t="shared" si="0"/>
        <v>3400</v>
      </c>
      <c r="S16" s="62">
        <f t="shared" si="0"/>
        <v>3500</v>
      </c>
      <c r="T16" s="62">
        <f t="shared" si="0"/>
        <v>3600</v>
      </c>
      <c r="U16" s="62">
        <f t="shared" si="0"/>
        <v>3700</v>
      </c>
      <c r="V16" s="62">
        <f t="shared" si="0"/>
        <v>3800</v>
      </c>
      <c r="W16" s="62">
        <f t="shared" si="0"/>
        <v>3900</v>
      </c>
      <c r="X16" s="63"/>
    </row>
    <row r="17" spans="1:24" ht="11.25" customHeight="1" x14ac:dyDescent="0.25">
      <c r="A17" s="64">
        <v>1850</v>
      </c>
      <c r="B17" s="10">
        <f>(2260*(((1-RemiseCoef!$B$4)*RemiseCoef!$B$6)))+(RemiseCoef!forfait)</f>
        <v>2260</v>
      </c>
      <c r="C17" s="10">
        <f>(2293*(((1-RemiseCoef!$B$4)*RemiseCoef!$B$6)))+(RemiseCoef!forfait)</f>
        <v>2293</v>
      </c>
      <c r="D17" s="10">
        <f>(2323*(((1-RemiseCoef!$B$4)*RemiseCoef!$B$6)))+(RemiseCoef!forfait)</f>
        <v>2323</v>
      </c>
      <c r="E17" s="10">
        <f>(2354*(((1-RemiseCoef!$B$4)*RemiseCoef!$B$6)))+(RemiseCoef!forfait)</f>
        <v>2354</v>
      </c>
      <c r="F17" s="10">
        <f>(2386*(((1-RemiseCoef!$B$4)*RemiseCoef!$B$6)))+(RemiseCoef!forfait)</f>
        <v>2386</v>
      </c>
      <c r="G17" s="10">
        <f>(2507*(((1-RemiseCoef!$B$4)*RemiseCoef!$B$6)))+(RemiseCoef!forfait)</f>
        <v>2507</v>
      </c>
      <c r="H17" s="10">
        <f>(2540*(((1-RemiseCoef!$B$4)*RemiseCoef!$B$6)))+(RemiseCoef!forfait)</f>
        <v>2540</v>
      </c>
      <c r="I17" s="10">
        <f>(2571*(((1-RemiseCoef!$B$4)*RemiseCoef!$B$6)))+(RemiseCoef!forfait)</f>
        <v>2571</v>
      </c>
      <c r="J17" s="10">
        <f>(2603*(((1-RemiseCoef!$B$4)*RemiseCoef!$B$6)))+(RemiseCoef!forfait)</f>
        <v>2603</v>
      </c>
      <c r="K17" s="10">
        <f>(2634*(((1-RemiseCoef!$B$4)*RemiseCoef!$B$6)))+(RemiseCoef!forfait)</f>
        <v>2634</v>
      </c>
      <c r="L17" s="10">
        <f>(2666*(((1-RemiseCoef!$B$4)*RemiseCoef!$B$6)))+(RemiseCoef!forfait)</f>
        <v>2666</v>
      </c>
      <c r="M17" s="10">
        <f>(2698*(((1-RemiseCoef!$B$4)*RemiseCoef!$B$6)))+(RemiseCoef!forfait)</f>
        <v>2698</v>
      </c>
      <c r="N17" s="10">
        <f>(2729*(((1-RemiseCoef!$B$4)*RemiseCoef!$B$6)))+(RemiseCoef!forfait)</f>
        <v>2729</v>
      </c>
      <c r="O17" s="10">
        <f>(2780*(((1-RemiseCoef!$B$4)*RemiseCoef!$B$6)))+(RemiseCoef!forfait)</f>
        <v>2780</v>
      </c>
      <c r="P17" s="10">
        <f>(2813*(((1-RemiseCoef!$B$4)*RemiseCoef!$B$6)))+(RemiseCoef!forfait)</f>
        <v>2813</v>
      </c>
      <c r="Q17" s="10">
        <f>(2844*(((1-RemiseCoef!$B$4)*RemiseCoef!$B$6)))+(RemiseCoef!forfait)</f>
        <v>2844</v>
      </c>
      <c r="R17" s="10">
        <f>(2875*(((1-RemiseCoef!$B$4)*RemiseCoef!$B$6)))+(RemiseCoef!forfait)</f>
        <v>2875</v>
      </c>
      <c r="S17" s="10">
        <f>(2907*(((1-RemiseCoef!$B$4)*RemiseCoef!$B$6)))+(RemiseCoef!forfait)</f>
        <v>2907</v>
      </c>
      <c r="T17" s="10">
        <f>(3011*(((1-RemiseCoef!$B$4)*RemiseCoef!$B$6)))+(RemiseCoef!forfait)</f>
        <v>3011</v>
      </c>
      <c r="U17" s="10">
        <f>(3066*(((1-RemiseCoef!$B$4)*RemiseCoef!$B$6)))+(RemiseCoef!forfait)</f>
        <v>3066</v>
      </c>
      <c r="V17" s="10">
        <f>(3099*(((1-RemiseCoef!$B$4)*RemiseCoef!$B$6)))+(RemiseCoef!forfait)</f>
        <v>3099</v>
      </c>
      <c r="W17" s="10">
        <f>(3154*(((1-RemiseCoef!$B$4)*RemiseCoef!$B$6)))+(RemiseCoef!forfait)</f>
        <v>3154</v>
      </c>
      <c r="X17" s="65"/>
    </row>
    <row r="18" spans="1:24" ht="11.25" customHeight="1" x14ac:dyDescent="0.25">
      <c r="A18" s="64">
        <f t="shared" ref="A18:A33" si="1">A17+100</f>
        <v>1950</v>
      </c>
      <c r="B18" s="10">
        <f>(2282*(((1-RemiseCoef!$B$4)*RemiseCoef!$B$6)))+(RemiseCoef!forfait)</f>
        <v>2282</v>
      </c>
      <c r="C18" s="10">
        <f>(2316*(((1-RemiseCoef!$B$4)*RemiseCoef!$B$6)))+(RemiseCoef!forfait)</f>
        <v>2316</v>
      </c>
      <c r="D18" s="10">
        <f>(2348*(((1-RemiseCoef!$B$4)*RemiseCoef!$B$6)))+(RemiseCoef!forfait)</f>
        <v>2348</v>
      </c>
      <c r="E18" s="10">
        <f>(2379*(((1-RemiseCoef!$B$4)*RemiseCoef!$B$6)))+(RemiseCoef!forfait)</f>
        <v>2379</v>
      </c>
      <c r="F18" s="10">
        <f>(2482*(((1-RemiseCoef!$B$4)*RemiseCoef!$B$6)))+(RemiseCoef!forfait)</f>
        <v>2482</v>
      </c>
      <c r="G18" s="10">
        <f>(2534*(((1-RemiseCoef!$B$4)*RemiseCoef!$B$6)))+(RemiseCoef!forfait)</f>
        <v>2534</v>
      </c>
      <c r="H18" s="10">
        <f>(2566*(((1-RemiseCoef!$B$4)*RemiseCoef!$B$6)))+(RemiseCoef!forfait)</f>
        <v>2566</v>
      </c>
      <c r="I18" s="10">
        <f>(2598*(((1-RemiseCoef!$B$4)*RemiseCoef!$B$6)))+(RemiseCoef!forfait)</f>
        <v>2598</v>
      </c>
      <c r="J18" s="10">
        <f>(2632*(((1-RemiseCoef!$B$4)*RemiseCoef!$B$6)))+(RemiseCoef!forfait)</f>
        <v>2632</v>
      </c>
      <c r="K18" s="10">
        <f>(2664*(((1-RemiseCoef!$B$4)*RemiseCoef!$B$6)))+(RemiseCoef!forfait)</f>
        <v>2664</v>
      </c>
      <c r="L18" s="10">
        <f>(2695*(((1-RemiseCoef!$B$4)*RemiseCoef!$B$6)))+(RemiseCoef!forfait)</f>
        <v>2695</v>
      </c>
      <c r="M18" s="10">
        <f>(2727*(((1-RemiseCoef!$B$4)*RemiseCoef!$B$6)))+(RemiseCoef!forfait)</f>
        <v>2727</v>
      </c>
      <c r="N18" s="10">
        <f>(2760*(((1-RemiseCoef!$B$4)*RemiseCoef!$B$6)))+(RemiseCoef!forfait)</f>
        <v>2760</v>
      </c>
      <c r="O18" s="10">
        <f>(2814*(((1-RemiseCoef!$B$4)*RemiseCoef!$B$6)))+(RemiseCoef!forfait)</f>
        <v>2814</v>
      </c>
      <c r="P18" s="10">
        <f>(2846*(((1-RemiseCoef!$B$4)*RemiseCoef!$B$6)))+(RemiseCoef!forfait)</f>
        <v>2846</v>
      </c>
      <c r="Q18" s="10">
        <f>(2877*(((1-RemiseCoef!$B$4)*RemiseCoef!$B$6)))+(RemiseCoef!forfait)</f>
        <v>2877</v>
      </c>
      <c r="R18" s="10">
        <f>(2910*(((1-RemiseCoef!$B$4)*RemiseCoef!$B$6)))+(RemiseCoef!forfait)</f>
        <v>2910</v>
      </c>
      <c r="S18" s="10">
        <f>(2962*(((1-RemiseCoef!$B$4)*RemiseCoef!$B$6)))+(RemiseCoef!forfait)</f>
        <v>2962</v>
      </c>
      <c r="T18" s="10">
        <f>(3071*(((1-RemiseCoef!$B$4)*RemiseCoef!$B$6)))+(RemiseCoef!forfait)</f>
        <v>3071</v>
      </c>
      <c r="U18" s="10">
        <f>(3106*(((1-RemiseCoef!$B$4)*RemiseCoef!$B$6)))+(RemiseCoef!forfait)</f>
        <v>3106</v>
      </c>
      <c r="V18" s="10">
        <f>(3140*(((1-RemiseCoef!$B$4)*RemiseCoef!$B$6)))+(RemiseCoef!forfait)</f>
        <v>3140</v>
      </c>
      <c r="W18" s="10">
        <f>(3195*(((1-RemiseCoef!$B$4)*RemiseCoef!$B$6)))+(RemiseCoef!forfait)</f>
        <v>3195</v>
      </c>
      <c r="X18" s="65"/>
    </row>
    <row r="19" spans="1:24" ht="11.25" customHeight="1" x14ac:dyDescent="0.25">
      <c r="A19" s="64">
        <f t="shared" si="1"/>
        <v>2050</v>
      </c>
      <c r="B19" s="10">
        <f>(2304*(((1-RemiseCoef!$B$4)*RemiseCoef!$B$6)))+(RemiseCoef!forfait)</f>
        <v>2304</v>
      </c>
      <c r="C19" s="10">
        <f>(2338*(((1-RemiseCoef!$B$4)*RemiseCoef!$B$6)))+(RemiseCoef!forfait)</f>
        <v>2338</v>
      </c>
      <c r="D19" s="10">
        <f>(2371*(((1-RemiseCoef!$B$4)*RemiseCoef!$B$6)))+(RemiseCoef!forfait)</f>
        <v>2371</v>
      </c>
      <c r="E19" s="10">
        <f>(2475*(((1-RemiseCoef!$B$4)*RemiseCoef!$B$6)))+(RemiseCoef!forfait)</f>
        <v>2475</v>
      </c>
      <c r="F19" s="10">
        <f>(2506*(((1-RemiseCoef!$B$4)*RemiseCoef!$B$6)))+(RemiseCoef!forfait)</f>
        <v>2506</v>
      </c>
      <c r="G19" s="10">
        <f>(2559*(((1-RemiseCoef!$B$4)*RemiseCoef!$B$6)))+(RemiseCoef!forfait)</f>
        <v>2559</v>
      </c>
      <c r="H19" s="10">
        <f>(2593*(((1-RemiseCoef!$B$4)*RemiseCoef!$B$6)))+(RemiseCoef!forfait)</f>
        <v>2593</v>
      </c>
      <c r="I19" s="10">
        <f>(2625*(((1-RemiseCoef!$B$4)*RemiseCoef!$B$6)))+(RemiseCoef!forfait)</f>
        <v>2625</v>
      </c>
      <c r="J19" s="10">
        <f>(2661*(((1-RemiseCoef!$B$4)*RemiseCoef!$B$6)))+(RemiseCoef!forfait)</f>
        <v>2661</v>
      </c>
      <c r="K19" s="10">
        <f>(2693*(((1-RemiseCoef!$B$4)*RemiseCoef!$B$6)))+(RemiseCoef!forfait)</f>
        <v>2693</v>
      </c>
      <c r="L19" s="10">
        <f>(2725*(((1-RemiseCoef!$B$4)*RemiseCoef!$B$6)))+(RemiseCoef!forfait)</f>
        <v>2725</v>
      </c>
      <c r="M19" s="10">
        <f>(2759*(((1-RemiseCoef!$B$4)*RemiseCoef!$B$6)))+(RemiseCoef!forfait)</f>
        <v>2759</v>
      </c>
      <c r="N19" s="10">
        <f>(2793*(((1-RemiseCoef!$B$4)*RemiseCoef!$B$6)))+(RemiseCoef!forfait)</f>
        <v>2793</v>
      </c>
      <c r="O19" s="10">
        <f>(2846*(((1-RemiseCoef!$B$4)*RemiseCoef!$B$6)))+(RemiseCoef!forfait)</f>
        <v>2846</v>
      </c>
      <c r="P19" s="10">
        <f>(2879*(((1-RemiseCoef!$B$4)*RemiseCoef!$B$6)))+(RemiseCoef!forfait)</f>
        <v>2879</v>
      </c>
      <c r="Q19" s="10">
        <f>(2911*(((1-RemiseCoef!$B$4)*RemiseCoef!$B$6)))+(RemiseCoef!forfait)</f>
        <v>2911</v>
      </c>
      <c r="R19" s="10">
        <f>(2964*(((1-RemiseCoef!$B$4)*RemiseCoef!$B$6)))+(RemiseCoef!forfait)</f>
        <v>2964</v>
      </c>
      <c r="S19" s="10">
        <f>(2998*(((1-RemiseCoef!$B$4)*RemiseCoef!$B$6)))+(RemiseCoef!forfait)</f>
        <v>2998</v>
      </c>
      <c r="T19" s="10">
        <f>(3110*(((1-RemiseCoef!$B$4)*RemiseCoef!$B$6)))+(RemiseCoef!forfait)</f>
        <v>3110</v>
      </c>
      <c r="U19" s="10">
        <f>(3144*(((1-RemiseCoef!$B$4)*RemiseCoef!$B$6)))+(RemiseCoef!forfait)</f>
        <v>3144</v>
      </c>
      <c r="V19" s="10">
        <f>(3181*(((1-RemiseCoef!$B$4)*RemiseCoef!$B$6)))+(RemiseCoef!forfait)</f>
        <v>3181</v>
      </c>
      <c r="W19" s="10">
        <f>(3235*(((1-RemiseCoef!$B$4)*RemiseCoef!$B$6)))+(RemiseCoef!forfait)</f>
        <v>3235</v>
      </c>
      <c r="X19" s="65"/>
    </row>
    <row r="20" spans="1:24" ht="11.25" customHeight="1" x14ac:dyDescent="0.25">
      <c r="A20" s="64">
        <f t="shared" si="1"/>
        <v>2150</v>
      </c>
      <c r="B20" s="10">
        <f>(2327*(((1-RemiseCoef!$B$4)*RemiseCoef!$B$6)))+(RemiseCoef!forfait)</f>
        <v>2327</v>
      </c>
      <c r="C20" s="10">
        <f>(2362*(((1-RemiseCoef!$B$4)*RemiseCoef!$B$6)))+(RemiseCoef!forfait)</f>
        <v>2362</v>
      </c>
      <c r="D20" s="10">
        <f>(2464*(((1-RemiseCoef!$B$4)*RemiseCoef!$B$6)))+(RemiseCoef!forfait)</f>
        <v>2464</v>
      </c>
      <c r="E20" s="10">
        <f>(2499*(((1-RemiseCoef!$B$4)*RemiseCoef!$B$6)))+(RemiseCoef!forfait)</f>
        <v>2499</v>
      </c>
      <c r="F20" s="10">
        <f>(2532*(((1-RemiseCoef!$B$4)*RemiseCoef!$B$6)))+(RemiseCoef!forfait)</f>
        <v>2532</v>
      </c>
      <c r="G20" s="10">
        <f>(2587*(((1-RemiseCoef!$B$4)*RemiseCoef!$B$6)))+(RemiseCoef!forfait)</f>
        <v>2587</v>
      </c>
      <c r="H20" s="10">
        <f>(2620*(((1-RemiseCoef!$B$4)*RemiseCoef!$B$6)))+(RemiseCoef!forfait)</f>
        <v>2620</v>
      </c>
      <c r="I20" s="10">
        <f>(2654*(((1-RemiseCoef!$B$4)*RemiseCoef!$B$6)))+(RemiseCoef!forfait)</f>
        <v>2654</v>
      </c>
      <c r="J20" s="10">
        <f>(2688*(((1-RemiseCoef!$B$4)*RemiseCoef!$B$6)))+(RemiseCoef!forfait)</f>
        <v>2688</v>
      </c>
      <c r="K20" s="10">
        <f>(2722*(((1-RemiseCoef!$B$4)*RemiseCoef!$B$6)))+(RemiseCoef!forfait)</f>
        <v>2722</v>
      </c>
      <c r="L20" s="10">
        <f>(2755*(((1-RemiseCoef!$B$4)*RemiseCoef!$B$6)))+(RemiseCoef!forfait)</f>
        <v>2755</v>
      </c>
      <c r="M20" s="10">
        <f>(2790*(((1-RemiseCoef!$B$4)*RemiseCoef!$B$6)))+(RemiseCoef!forfait)</f>
        <v>2790</v>
      </c>
      <c r="N20" s="10">
        <f>(2824*(((1-RemiseCoef!$B$4)*RemiseCoef!$B$6)))+(RemiseCoef!forfait)</f>
        <v>2824</v>
      </c>
      <c r="O20" s="10">
        <f>(2877*(((1-RemiseCoef!$B$4)*RemiseCoef!$B$6)))+(RemiseCoef!forfait)</f>
        <v>2877</v>
      </c>
      <c r="P20" s="10">
        <f>(2932*(((1-RemiseCoef!$B$4)*RemiseCoef!$B$6)))+(RemiseCoef!forfait)</f>
        <v>2932</v>
      </c>
      <c r="Q20" s="10">
        <f>(2964*(((1-RemiseCoef!$B$4)*RemiseCoef!$B$6)))+(RemiseCoef!forfait)</f>
        <v>2964</v>
      </c>
      <c r="R20" s="10">
        <f>(3000*(((1-RemiseCoef!$B$4)*RemiseCoef!$B$6)))+(RemiseCoef!forfait)</f>
        <v>3000</v>
      </c>
      <c r="S20" s="10">
        <f>(3033*(((1-RemiseCoef!$B$4)*RemiseCoef!$B$6)))+(RemiseCoef!forfait)</f>
        <v>3033</v>
      </c>
      <c r="T20" s="10">
        <f>(3150*(((1-RemiseCoef!$B$4)*RemiseCoef!$B$6)))+(RemiseCoef!forfait)</f>
        <v>3150</v>
      </c>
      <c r="U20" s="10">
        <f>(3185*(((1-RemiseCoef!$B$4)*RemiseCoef!$B$6)))+(RemiseCoef!forfait)</f>
        <v>3185</v>
      </c>
      <c r="V20" s="10">
        <f>(3220*(((1-RemiseCoef!$B$4)*RemiseCoef!$B$6)))+(RemiseCoef!forfait)</f>
        <v>3220</v>
      </c>
      <c r="W20" s="10">
        <f>(3276*(((1-RemiseCoef!$B$4)*RemiseCoef!$B$6)))+(RemiseCoef!forfait)</f>
        <v>3276</v>
      </c>
      <c r="X20" s="65"/>
    </row>
    <row r="21" spans="1:24" ht="11.25" customHeight="1" x14ac:dyDescent="0.25">
      <c r="A21" s="64">
        <f t="shared" si="1"/>
        <v>2250</v>
      </c>
      <c r="B21" s="10">
        <f>(2364*(((1-RemiseCoef!$B$4)*RemiseCoef!$B$6)))+(RemiseCoef!forfait)</f>
        <v>2364</v>
      </c>
      <c r="C21" s="10">
        <f>(2468*(((1-RemiseCoef!$B$4)*RemiseCoef!$B$6)))+(RemiseCoef!forfait)</f>
        <v>2468</v>
      </c>
      <c r="D21" s="10">
        <f>(2504*(((1-RemiseCoef!$B$4)*RemiseCoef!$B$6)))+(RemiseCoef!forfait)</f>
        <v>2504</v>
      </c>
      <c r="E21" s="10">
        <f>(2540*(((1-RemiseCoef!$B$4)*RemiseCoef!$B$6)))+(RemiseCoef!forfait)</f>
        <v>2540</v>
      </c>
      <c r="F21" s="10">
        <f>(2574*(((1-RemiseCoef!$B$4)*RemiseCoef!$B$6)))+(RemiseCoef!forfait)</f>
        <v>2574</v>
      </c>
      <c r="G21" s="10">
        <f>(2632*(((1-RemiseCoef!$B$4)*RemiseCoef!$B$6)))+(RemiseCoef!forfait)</f>
        <v>2632</v>
      </c>
      <c r="H21" s="10">
        <f>(2666*(((1-RemiseCoef!$B$4)*RemiseCoef!$B$6)))+(RemiseCoef!forfait)</f>
        <v>2666</v>
      </c>
      <c r="I21" s="10">
        <f>(2702*(((1-RemiseCoef!$B$4)*RemiseCoef!$B$6)))+(RemiseCoef!forfait)</f>
        <v>2702</v>
      </c>
      <c r="J21" s="10">
        <f>(2737*(((1-RemiseCoef!$B$4)*RemiseCoef!$B$6)))+(RemiseCoef!forfait)</f>
        <v>2737</v>
      </c>
      <c r="K21" s="10">
        <f>(2773*(((1-RemiseCoef!$B$4)*RemiseCoef!$B$6)))+(RemiseCoef!forfait)</f>
        <v>2773</v>
      </c>
      <c r="L21" s="10">
        <f>(2808*(((1-RemiseCoef!$B$4)*RemiseCoef!$B$6)))+(RemiseCoef!forfait)</f>
        <v>2808</v>
      </c>
      <c r="M21" s="10">
        <f>(2844*(((1-RemiseCoef!$B$4)*RemiseCoef!$B$6)))+(RemiseCoef!forfait)</f>
        <v>2844</v>
      </c>
      <c r="N21" s="10">
        <f>(2879*(((1-RemiseCoef!$B$4)*RemiseCoef!$B$6)))+(RemiseCoef!forfait)</f>
        <v>2879</v>
      </c>
      <c r="O21" s="10">
        <f>(2954*(((1-RemiseCoef!$B$4)*RemiseCoef!$B$6)))+(RemiseCoef!forfait)</f>
        <v>2954</v>
      </c>
      <c r="P21" s="10">
        <f>(2992*(((1-RemiseCoef!$B$4)*RemiseCoef!$B$6)))+(RemiseCoef!forfait)</f>
        <v>2992</v>
      </c>
      <c r="Q21" s="10">
        <f>(3026*(((1-RemiseCoef!$B$4)*RemiseCoef!$B$6)))+(RemiseCoef!forfait)</f>
        <v>3026</v>
      </c>
      <c r="R21" s="10">
        <f>(3062*(((1-RemiseCoef!$B$4)*RemiseCoef!$B$6)))+(RemiseCoef!forfait)</f>
        <v>3062</v>
      </c>
      <c r="S21" s="10">
        <f>(3096*(((1-RemiseCoef!$B$4)*RemiseCoef!$B$6)))+(RemiseCoef!forfait)</f>
        <v>3096</v>
      </c>
      <c r="T21" s="10">
        <f>(3219*(((1-RemiseCoef!$B$4)*RemiseCoef!$B$6)))+(RemiseCoef!forfait)</f>
        <v>3219</v>
      </c>
      <c r="U21" s="10">
        <f>(3257*(((1-RemiseCoef!$B$4)*RemiseCoef!$B$6)))+(RemiseCoef!forfait)</f>
        <v>3257</v>
      </c>
      <c r="V21" s="10">
        <f>(3294*(((1-RemiseCoef!$B$4)*RemiseCoef!$B$6)))+(RemiseCoef!forfait)</f>
        <v>3294</v>
      </c>
      <c r="W21" s="10">
        <f>(3352*(((1-RemiseCoef!$B$4)*RemiseCoef!$B$6)))+(RemiseCoef!forfait)</f>
        <v>3352</v>
      </c>
      <c r="X21" s="65"/>
    </row>
    <row r="22" spans="1:24" ht="11.25" customHeight="1" thickBot="1" x14ac:dyDescent="0.3">
      <c r="A22" s="64">
        <f t="shared" si="1"/>
        <v>2350</v>
      </c>
      <c r="B22" s="10">
        <f>(2456*(((1-RemiseCoef!$B$4)*RemiseCoef!$B$6)))+(RemiseCoef!forfait)</f>
        <v>2456</v>
      </c>
      <c r="C22" s="10">
        <f>(2491*(((1-RemiseCoef!$B$4)*RemiseCoef!$B$6)))+(RemiseCoef!forfait)</f>
        <v>2491</v>
      </c>
      <c r="D22" s="10">
        <f>(2529*(((1-RemiseCoef!$B$4)*RemiseCoef!$B$6)))+(RemiseCoef!forfait)</f>
        <v>2529</v>
      </c>
      <c r="E22" s="10">
        <f>(2565*(((1-RemiseCoef!$B$4)*RemiseCoef!$B$6)))+(RemiseCoef!forfait)</f>
        <v>2565</v>
      </c>
      <c r="F22" s="10">
        <f>(2599*(((1-RemiseCoef!$B$4)*RemiseCoef!$B$6)))+(RemiseCoef!forfait)</f>
        <v>2599</v>
      </c>
      <c r="G22" s="10">
        <f>(2657*(((1-RemiseCoef!$B$4)*RemiseCoef!$B$6)))+(RemiseCoef!forfait)</f>
        <v>2657</v>
      </c>
      <c r="H22" s="10">
        <f>(2693*(((1-RemiseCoef!$B$4)*RemiseCoef!$B$6)))+(RemiseCoef!forfait)</f>
        <v>2693</v>
      </c>
      <c r="I22" s="10">
        <f>(2729*(((1-RemiseCoef!$B$4)*RemiseCoef!$B$6)))+(RemiseCoef!forfait)</f>
        <v>2729</v>
      </c>
      <c r="J22" s="10">
        <f>(2767*(((1-RemiseCoef!$B$4)*RemiseCoef!$B$6)))+(RemiseCoef!forfait)</f>
        <v>2767</v>
      </c>
      <c r="K22" s="10">
        <f>(2801*(((1-RemiseCoef!$B$4)*RemiseCoef!$B$6)))+(RemiseCoef!forfait)</f>
        <v>2801</v>
      </c>
      <c r="L22" s="10">
        <f>(2840*(((1-RemiseCoef!$B$4)*RemiseCoef!$B$6)))+(RemiseCoef!forfait)</f>
        <v>2840</v>
      </c>
      <c r="M22" s="10">
        <f>(2893*(((1-RemiseCoef!$B$4)*RemiseCoef!$B$6)))+(RemiseCoef!forfait)</f>
        <v>2893</v>
      </c>
      <c r="N22" s="10">
        <f>(2930*(((1-RemiseCoef!$B$4)*RemiseCoef!$B$6)))+(RemiseCoef!forfait)</f>
        <v>2930</v>
      </c>
      <c r="O22" s="10">
        <f>(2987*(((1-RemiseCoef!$B$4)*RemiseCoef!$B$6)))+(RemiseCoef!forfait)</f>
        <v>2987</v>
      </c>
      <c r="P22" s="10">
        <f>(3024*(((1-RemiseCoef!$B$4)*RemiseCoef!$B$6)))+(RemiseCoef!forfait)</f>
        <v>3024</v>
      </c>
      <c r="Q22" s="10">
        <f>(3061*(((1-RemiseCoef!$B$4)*RemiseCoef!$B$6)))+(RemiseCoef!forfait)</f>
        <v>3061</v>
      </c>
      <c r="R22" s="10">
        <f>(3096*(((1-RemiseCoef!$B$4)*RemiseCoef!$B$6)))+(RemiseCoef!forfait)</f>
        <v>3096</v>
      </c>
      <c r="S22" s="10">
        <f>(3132*(((1-RemiseCoef!$B$4)*RemiseCoef!$B$6)))+(RemiseCoef!forfait)</f>
        <v>3132</v>
      </c>
      <c r="T22" s="10">
        <f>(3258*(((1-RemiseCoef!$B$4)*RemiseCoef!$B$6)))+(RemiseCoef!forfait)</f>
        <v>3258</v>
      </c>
      <c r="U22" s="10">
        <f>(3297*(((1-RemiseCoef!$B$4)*RemiseCoef!$B$6)))+(RemiseCoef!forfait)</f>
        <v>3297</v>
      </c>
      <c r="V22" s="66">
        <f>(3336*(((1-RemiseCoef!$B$4)*RemiseCoef!$B$6)))+(RemiseCoef!forfait)</f>
        <v>3336</v>
      </c>
      <c r="W22" s="66">
        <f>(3394*(((1-RemiseCoef!$B$4)*RemiseCoef!$B$6)))+(RemiseCoef!forfait)</f>
        <v>3394</v>
      </c>
      <c r="X22" s="65"/>
    </row>
    <row r="23" spans="1:24" ht="11.25" customHeight="1" thickBot="1" x14ac:dyDescent="0.3">
      <c r="A23" s="64">
        <f t="shared" si="1"/>
        <v>2450</v>
      </c>
      <c r="B23" s="10">
        <f>(2478*(((1-RemiseCoef!$B$4)*RemiseCoef!$B$6)))+(RemiseCoef!forfait)</f>
        <v>2478</v>
      </c>
      <c r="C23" s="10">
        <f>(2514*(((1-RemiseCoef!$B$4)*RemiseCoef!$B$6)))+(RemiseCoef!forfait)</f>
        <v>2514</v>
      </c>
      <c r="D23" s="10">
        <f>(2552*(((1-RemiseCoef!$B$4)*RemiseCoef!$B$6)))+(RemiseCoef!forfait)</f>
        <v>2552</v>
      </c>
      <c r="E23" s="10">
        <f>(2589*(((1-RemiseCoef!$B$4)*RemiseCoef!$B$6)))+(RemiseCoef!forfait)</f>
        <v>2589</v>
      </c>
      <c r="F23" s="10">
        <f>(2625*(((1-RemiseCoef!$B$4)*RemiseCoef!$B$6)))+(RemiseCoef!forfait)</f>
        <v>2625</v>
      </c>
      <c r="G23" s="10">
        <f>(2683*(((1-RemiseCoef!$B$4)*RemiseCoef!$B$6)))+(RemiseCoef!forfait)</f>
        <v>2683</v>
      </c>
      <c r="H23" s="10">
        <f>(2721*(((1-RemiseCoef!$B$4)*RemiseCoef!$B$6)))+(RemiseCoef!forfait)</f>
        <v>2721</v>
      </c>
      <c r="I23" s="10">
        <f>(2756*(((1-RemiseCoef!$B$4)*RemiseCoef!$B$6)))+(RemiseCoef!forfait)</f>
        <v>2756</v>
      </c>
      <c r="J23" s="10">
        <f>(2795*(((1-RemiseCoef!$B$4)*RemiseCoef!$B$6)))+(RemiseCoef!forfait)</f>
        <v>2795</v>
      </c>
      <c r="K23" s="10">
        <f>(2830*(((1-RemiseCoef!$B$4)*RemiseCoef!$B$6)))+(RemiseCoef!forfait)</f>
        <v>2830</v>
      </c>
      <c r="L23" s="10">
        <f>(2888*(((1-RemiseCoef!$B$4)*RemiseCoef!$B$6)))+(RemiseCoef!forfait)</f>
        <v>2888</v>
      </c>
      <c r="M23" s="10">
        <f>(2926*(((1-RemiseCoef!$B$4)*RemiseCoef!$B$6)))+(RemiseCoef!forfait)</f>
        <v>2926</v>
      </c>
      <c r="N23" s="10">
        <f>(2961*(((1-RemiseCoef!$B$4)*RemiseCoef!$B$6)))+(RemiseCoef!forfait)</f>
        <v>2961</v>
      </c>
      <c r="O23" s="10">
        <f>(3020*(((1-RemiseCoef!$B$4)*RemiseCoef!$B$6)))+(RemiseCoef!forfait)</f>
        <v>3020</v>
      </c>
      <c r="P23" s="10">
        <f>(3055*(((1-RemiseCoef!$B$4)*RemiseCoef!$B$6)))+(RemiseCoef!forfait)</f>
        <v>3055</v>
      </c>
      <c r="Q23" s="10">
        <f>(3093*(((1-RemiseCoef!$B$4)*RemiseCoef!$B$6)))+(RemiseCoef!forfait)</f>
        <v>3093</v>
      </c>
      <c r="R23" s="10">
        <f>(3130*(((1-RemiseCoef!$B$4)*RemiseCoef!$B$6)))+(RemiseCoef!forfait)</f>
        <v>3130</v>
      </c>
      <c r="S23" s="10">
        <f>(3167*(((1-RemiseCoef!$B$4)*RemiseCoef!$B$6)))+(RemiseCoef!forfait)</f>
        <v>3167</v>
      </c>
      <c r="T23" s="10">
        <f>(3297*(((1-RemiseCoef!$B$4)*RemiseCoef!$B$6)))+(RemiseCoef!forfait)</f>
        <v>3297</v>
      </c>
      <c r="U23" s="67">
        <f>(3337*(((1-RemiseCoef!$B$4)*RemiseCoef!$B$6)))+(RemiseCoef!forfait)</f>
        <v>3337</v>
      </c>
      <c r="V23" s="68">
        <f>(3377*(((1-RemiseCoef!$B$4)*RemiseCoef!$B$6)))+(RemiseCoef!forfait)</f>
        <v>3377</v>
      </c>
      <c r="W23" s="69">
        <f>(3679*(((1-RemiseCoef!$B$4)*RemiseCoef!$B$6)))+(RemiseCoef!forfait)</f>
        <v>3679</v>
      </c>
      <c r="X23" s="65"/>
    </row>
    <row r="24" spans="1:24" ht="11.25" customHeight="1" thickBot="1" x14ac:dyDescent="0.3">
      <c r="A24" s="64">
        <f t="shared" si="1"/>
        <v>2550</v>
      </c>
      <c r="B24" s="10">
        <f>(2514*(((1-RemiseCoef!$B$4)*RemiseCoef!$B$6)))+(RemiseCoef!forfait)</f>
        <v>2514</v>
      </c>
      <c r="C24" s="10">
        <f>(2554*(((1-RemiseCoef!$B$4)*RemiseCoef!$B$6)))+(RemiseCoef!forfait)</f>
        <v>2554</v>
      </c>
      <c r="D24" s="10">
        <f>(2591*(((1-RemiseCoef!$B$4)*RemiseCoef!$B$6)))+(RemiseCoef!forfait)</f>
        <v>2591</v>
      </c>
      <c r="E24" s="10">
        <f>(2631*(((1-RemiseCoef!$B$4)*RemiseCoef!$B$6)))+(RemiseCoef!forfait)</f>
        <v>2631</v>
      </c>
      <c r="F24" s="10">
        <f>(2668*(((1-RemiseCoef!$B$4)*RemiseCoef!$B$6)))+(RemiseCoef!forfait)</f>
        <v>2668</v>
      </c>
      <c r="G24" s="10">
        <f>(2726*(((1-RemiseCoef!$B$4)*RemiseCoef!$B$6)))+(RemiseCoef!forfait)</f>
        <v>2726</v>
      </c>
      <c r="H24" s="10">
        <f>(2767*(((1-RemiseCoef!$B$4)*RemiseCoef!$B$6)))+(RemiseCoef!forfait)</f>
        <v>2767</v>
      </c>
      <c r="I24" s="10">
        <f>(2804*(((1-RemiseCoef!$B$4)*RemiseCoef!$B$6)))+(RemiseCoef!forfait)</f>
        <v>2804</v>
      </c>
      <c r="J24" s="10">
        <f>(2844*(((1-RemiseCoef!$B$4)*RemiseCoef!$B$6)))+(RemiseCoef!forfait)</f>
        <v>2844</v>
      </c>
      <c r="K24" s="10">
        <f>(2902*(((1-RemiseCoef!$B$4)*RemiseCoef!$B$6)))+(RemiseCoef!forfait)</f>
        <v>2902</v>
      </c>
      <c r="L24" s="10">
        <f>(2941*(((1-RemiseCoef!$B$4)*RemiseCoef!$B$6)))+(RemiseCoef!forfait)</f>
        <v>2941</v>
      </c>
      <c r="M24" s="10">
        <f>(2979*(((1-RemiseCoef!$B$4)*RemiseCoef!$B$6)))+(RemiseCoef!forfait)</f>
        <v>2979</v>
      </c>
      <c r="N24" s="10">
        <f>(3018*(((1-RemiseCoef!$B$4)*RemiseCoef!$B$6)))+(RemiseCoef!forfait)</f>
        <v>3018</v>
      </c>
      <c r="O24" s="10">
        <f>(3076*(((1-RemiseCoef!$B$4)*RemiseCoef!$B$6)))+(RemiseCoef!forfait)</f>
        <v>3076</v>
      </c>
      <c r="P24" s="10">
        <f>(3115*(((1-RemiseCoef!$B$4)*RemiseCoef!$B$6)))+(RemiseCoef!forfait)</f>
        <v>3115</v>
      </c>
      <c r="Q24" s="10">
        <f>(3155*(((1-RemiseCoef!$B$4)*RemiseCoef!$B$6)))+(RemiseCoef!forfait)</f>
        <v>3155</v>
      </c>
      <c r="R24" s="10">
        <f>(3191*(((1-RemiseCoef!$B$4)*RemiseCoef!$B$6)))+(RemiseCoef!forfait)</f>
        <v>3191</v>
      </c>
      <c r="S24" s="66">
        <f>(3231*(((1-RemiseCoef!$B$4)*RemiseCoef!$B$6)))+(RemiseCoef!forfait)</f>
        <v>3231</v>
      </c>
      <c r="T24" s="67">
        <f>(3367*(((1-RemiseCoef!$B$4)*RemiseCoef!$B$6)))+(RemiseCoef!forfait)</f>
        <v>3367</v>
      </c>
      <c r="U24" s="68">
        <f>(3408*(((1-RemiseCoef!$B$4)*RemiseCoef!$B$6)))+(RemiseCoef!forfait)</f>
        <v>3408</v>
      </c>
      <c r="V24" s="10">
        <f>(3694*(((1-RemiseCoef!$B$4)*RemiseCoef!$B$6)))+(RemiseCoef!forfait)</f>
        <v>3694</v>
      </c>
      <c r="W24" s="10">
        <f>(3754*(((1-RemiseCoef!$B$4)*RemiseCoef!$B$6)))+(RemiseCoef!forfait)</f>
        <v>3754</v>
      </c>
      <c r="X24" s="65"/>
    </row>
    <row r="25" spans="1:24" ht="11.25" customHeight="1" thickBot="1" x14ac:dyDescent="0.3">
      <c r="A25" s="64">
        <f t="shared" si="1"/>
        <v>2650</v>
      </c>
      <c r="B25" s="10">
        <f>(2536*(((1-RemiseCoef!$B$4)*RemiseCoef!$B$6)))+(RemiseCoef!forfait)</f>
        <v>2536</v>
      </c>
      <c r="C25" s="10">
        <f>(2576*(((1-RemiseCoef!$B$4)*RemiseCoef!$B$6)))+(RemiseCoef!forfait)</f>
        <v>2576</v>
      </c>
      <c r="D25" s="10">
        <f>(2615*(((1-RemiseCoef!$B$4)*RemiseCoef!$B$6)))+(RemiseCoef!forfait)</f>
        <v>2615</v>
      </c>
      <c r="E25" s="10">
        <f>(2655*(((1-RemiseCoef!$B$4)*RemiseCoef!$B$6)))+(RemiseCoef!forfait)</f>
        <v>2655</v>
      </c>
      <c r="F25" s="10">
        <f>(2694*(((1-RemiseCoef!$B$4)*RemiseCoef!$B$6)))+(RemiseCoef!forfait)</f>
        <v>2694</v>
      </c>
      <c r="G25" s="10">
        <f>(2753*(((1-RemiseCoef!$B$4)*RemiseCoef!$B$6)))+(RemiseCoef!forfait)</f>
        <v>2753</v>
      </c>
      <c r="H25" s="10">
        <f>(2794*(((1-RemiseCoef!$B$4)*RemiseCoef!$B$6)))+(RemiseCoef!forfait)</f>
        <v>2794</v>
      </c>
      <c r="I25" s="10">
        <f>(2831*(((1-RemiseCoef!$B$4)*RemiseCoef!$B$6)))+(RemiseCoef!forfait)</f>
        <v>2831</v>
      </c>
      <c r="J25" s="10">
        <f>(2891*(((1-RemiseCoef!$B$4)*RemiseCoef!$B$6)))+(RemiseCoef!forfait)</f>
        <v>2891</v>
      </c>
      <c r="K25" s="10">
        <f>(2932*(((1-RemiseCoef!$B$4)*RemiseCoef!$B$6)))+(RemiseCoef!forfait)</f>
        <v>2932</v>
      </c>
      <c r="L25" s="10">
        <f>(2972*(((1-RemiseCoef!$B$4)*RemiseCoef!$B$6)))+(RemiseCoef!forfait)</f>
        <v>2972</v>
      </c>
      <c r="M25" s="10">
        <f>(3009*(((1-RemiseCoef!$B$4)*RemiseCoef!$B$6)))+(RemiseCoef!forfait)</f>
        <v>3009</v>
      </c>
      <c r="N25" s="10">
        <f>(3049*(((1-RemiseCoef!$B$4)*RemiseCoef!$B$6)))+(RemiseCoef!forfait)</f>
        <v>3049</v>
      </c>
      <c r="O25" s="10">
        <f>(3109*(((1-RemiseCoef!$B$4)*RemiseCoef!$B$6)))+(RemiseCoef!forfait)</f>
        <v>3109</v>
      </c>
      <c r="P25" s="10">
        <f>(3146*(((1-RemiseCoef!$B$4)*RemiseCoef!$B$6)))+(RemiseCoef!forfait)</f>
        <v>3146</v>
      </c>
      <c r="Q25" s="10">
        <f>(3187*(((1-RemiseCoef!$B$4)*RemiseCoef!$B$6)))+(RemiseCoef!forfait)</f>
        <v>3187</v>
      </c>
      <c r="R25" s="67">
        <f>(3228*(((1-RemiseCoef!$B$4)*RemiseCoef!$B$6)))+(RemiseCoef!forfait)</f>
        <v>3228</v>
      </c>
      <c r="S25" s="68">
        <f>(3266*(((1-RemiseCoef!$B$4)*RemiseCoef!$B$6)))+(RemiseCoef!forfait)</f>
        <v>3266</v>
      </c>
      <c r="T25" s="69">
        <f>(3651*(((1-RemiseCoef!$B$4)*RemiseCoef!$B$6)))+(RemiseCoef!forfait)</f>
        <v>3651</v>
      </c>
      <c r="U25" s="10">
        <f>(3694*(((1-RemiseCoef!$B$4)*RemiseCoef!$B$6)))+(RemiseCoef!forfait)</f>
        <v>3694</v>
      </c>
      <c r="V25" s="10">
        <f>(3734*(((1-RemiseCoef!$B$4)*RemiseCoef!$B$6)))+(RemiseCoef!forfait)</f>
        <v>3734</v>
      </c>
      <c r="W25" s="10">
        <f>(3796*(((1-RemiseCoef!$B$4)*RemiseCoef!$B$6)))+(RemiseCoef!forfait)</f>
        <v>3796</v>
      </c>
      <c r="X25" s="65"/>
    </row>
    <row r="26" spans="1:24" ht="11.25" customHeight="1" thickBot="1" x14ac:dyDescent="0.3">
      <c r="A26" s="64">
        <f t="shared" si="1"/>
        <v>2750</v>
      </c>
      <c r="B26" s="10">
        <f>(2558*(((1-RemiseCoef!$B$4)*RemiseCoef!$B$6)))+(RemiseCoef!forfait)</f>
        <v>2558</v>
      </c>
      <c r="C26" s="10">
        <f>(2598*(((1-RemiseCoef!$B$4)*RemiseCoef!$B$6)))+(RemiseCoef!forfait)</f>
        <v>2598</v>
      </c>
      <c r="D26" s="10">
        <f>(2639*(((1-RemiseCoef!$B$4)*RemiseCoef!$B$6)))+(RemiseCoef!forfait)</f>
        <v>2639</v>
      </c>
      <c r="E26" s="10">
        <f>(2680*(((1-RemiseCoef!$B$4)*RemiseCoef!$B$6)))+(RemiseCoef!forfait)</f>
        <v>2680</v>
      </c>
      <c r="F26" s="10">
        <f>(2719*(((1-RemiseCoef!$B$4)*RemiseCoef!$B$6)))+(RemiseCoef!forfait)</f>
        <v>2719</v>
      </c>
      <c r="G26" s="10">
        <f>(2779*(((1-RemiseCoef!$B$4)*RemiseCoef!$B$6)))+(RemiseCoef!forfait)</f>
        <v>2779</v>
      </c>
      <c r="H26" s="10">
        <f>(2819*(((1-RemiseCoef!$B$4)*RemiseCoef!$B$6)))+(RemiseCoef!forfait)</f>
        <v>2819</v>
      </c>
      <c r="I26" s="10">
        <f>(2881*(((1-RemiseCoef!$B$4)*RemiseCoef!$B$6)))+(RemiseCoef!forfait)</f>
        <v>2881</v>
      </c>
      <c r="J26" s="10">
        <f>(2920*(((1-RemiseCoef!$B$4)*RemiseCoef!$B$6)))+(RemiseCoef!forfait)</f>
        <v>2920</v>
      </c>
      <c r="K26" s="10">
        <f>(2960*(((1-RemiseCoef!$B$4)*RemiseCoef!$B$6)))+(RemiseCoef!forfait)</f>
        <v>2960</v>
      </c>
      <c r="L26" s="10">
        <f>(3001*(((1-RemiseCoef!$B$4)*RemiseCoef!$B$6)))+(RemiseCoef!forfait)</f>
        <v>3001</v>
      </c>
      <c r="M26" s="10">
        <f>(3040*(((1-RemiseCoef!$B$4)*RemiseCoef!$B$6)))+(RemiseCoef!forfait)</f>
        <v>3040</v>
      </c>
      <c r="N26" s="10">
        <f>(3082*(((1-RemiseCoef!$B$4)*RemiseCoef!$B$6)))+(RemiseCoef!forfait)</f>
        <v>3082</v>
      </c>
      <c r="O26" s="10">
        <f>(3141*(((1-RemiseCoef!$B$4)*RemiseCoef!$B$6)))+(RemiseCoef!forfait)</f>
        <v>3141</v>
      </c>
      <c r="P26" s="10">
        <f>(3182*(((1-RemiseCoef!$B$4)*RemiseCoef!$B$6)))+(RemiseCoef!forfait)</f>
        <v>3182</v>
      </c>
      <c r="Q26" s="67">
        <f>(3220*(((1-RemiseCoef!$B$4)*RemiseCoef!$B$6)))+(RemiseCoef!forfait)</f>
        <v>3220</v>
      </c>
      <c r="R26" s="68">
        <f>(3260*(((1-RemiseCoef!$B$4)*RemiseCoef!$B$6)))+(RemiseCoef!forfait)</f>
        <v>3260</v>
      </c>
      <c r="S26" s="10">
        <f>(3546*(((1-RemiseCoef!$B$4)*RemiseCoef!$B$6)))+(RemiseCoef!forfait)</f>
        <v>3546</v>
      </c>
      <c r="T26" s="10">
        <f>(3689*(((1-RemiseCoef!$B$4)*RemiseCoef!$B$6)))+(RemiseCoef!forfait)</f>
        <v>3689</v>
      </c>
      <c r="U26" s="10">
        <f>(3732*(((1-RemiseCoef!$B$4)*RemiseCoef!$B$6)))+(RemiseCoef!forfait)</f>
        <v>3732</v>
      </c>
      <c r="V26" s="10">
        <f>(3775*(((1-RemiseCoef!$B$4)*RemiseCoef!$B$6)))+(RemiseCoef!forfait)</f>
        <v>3775</v>
      </c>
      <c r="W26" s="10">
        <f>(3838*(((1-RemiseCoef!$B$4)*RemiseCoef!$B$6)))+(RemiseCoef!forfait)</f>
        <v>3838</v>
      </c>
      <c r="X26" s="65"/>
    </row>
    <row r="27" spans="1:24" ht="11.25" customHeight="1" thickBot="1" x14ac:dyDescent="0.3">
      <c r="A27" s="64">
        <f t="shared" si="1"/>
        <v>2850</v>
      </c>
      <c r="B27" s="10">
        <f>(2594*(((1-RemiseCoef!$B$4)*RemiseCoef!$B$6)))+(RemiseCoef!forfait)</f>
        <v>2594</v>
      </c>
      <c r="C27" s="10">
        <f>(2638*(((1-RemiseCoef!$B$4)*RemiseCoef!$B$6)))+(RemiseCoef!forfait)</f>
        <v>2638</v>
      </c>
      <c r="D27" s="10">
        <f>(2680*(((1-RemiseCoef!$B$4)*RemiseCoef!$B$6)))+(RemiseCoef!forfait)</f>
        <v>2680</v>
      </c>
      <c r="E27" s="10">
        <f>(2721*(((1-RemiseCoef!$B$4)*RemiseCoef!$B$6)))+(RemiseCoef!forfait)</f>
        <v>2721</v>
      </c>
      <c r="F27" s="10">
        <f>(2762*(((1-RemiseCoef!$B$4)*RemiseCoef!$B$6)))+(RemiseCoef!forfait)</f>
        <v>2762</v>
      </c>
      <c r="G27" s="10">
        <f>(2824*(((1-RemiseCoef!$B$4)*RemiseCoef!$B$6)))+(RemiseCoef!forfait)</f>
        <v>2824</v>
      </c>
      <c r="H27" s="10">
        <f>(2886*(((1-RemiseCoef!$B$4)*RemiseCoef!$B$6)))+(RemiseCoef!forfait)</f>
        <v>2886</v>
      </c>
      <c r="I27" s="10">
        <f>(2928*(((1-RemiseCoef!$B$4)*RemiseCoef!$B$6)))+(RemiseCoef!forfait)</f>
        <v>2928</v>
      </c>
      <c r="J27" s="10">
        <f>(2971*(((1-RemiseCoef!$B$4)*RemiseCoef!$B$6)))+(RemiseCoef!forfait)</f>
        <v>2971</v>
      </c>
      <c r="K27" s="10">
        <f>(3010*(((1-RemiseCoef!$B$4)*RemiseCoef!$B$6)))+(RemiseCoef!forfait)</f>
        <v>3010</v>
      </c>
      <c r="L27" s="10">
        <f>(3052*(((1-RemiseCoef!$B$4)*RemiseCoef!$B$6)))+(RemiseCoef!forfait)</f>
        <v>3052</v>
      </c>
      <c r="M27" s="10">
        <f>(3093*(((1-RemiseCoef!$B$4)*RemiseCoef!$B$6)))+(RemiseCoef!forfait)</f>
        <v>3093</v>
      </c>
      <c r="N27" s="10">
        <f>(3137*(((1-RemiseCoef!$B$4)*RemiseCoef!$B$6)))+(RemiseCoef!forfait)</f>
        <v>3137</v>
      </c>
      <c r="O27" s="10">
        <f>(3198*(((1-RemiseCoef!$B$4)*RemiseCoef!$B$6)))+(RemiseCoef!forfait)</f>
        <v>3198</v>
      </c>
      <c r="P27" s="67">
        <f>(3240*(((1-RemiseCoef!$B$4)*RemiseCoef!$B$6)))+(RemiseCoef!forfait)</f>
        <v>3240</v>
      </c>
      <c r="Q27" s="68">
        <f>(3281*(((1-RemiseCoef!$B$4)*RemiseCoef!$B$6)))+(RemiseCoef!forfait)</f>
        <v>3281</v>
      </c>
      <c r="R27" s="10">
        <f>(3568*(((1-RemiseCoef!$B$4)*RemiseCoef!$B$6)))+(RemiseCoef!forfait)</f>
        <v>3568</v>
      </c>
      <c r="S27" s="10">
        <f>(3608*(((1-RemiseCoef!$B$4)*RemiseCoef!$B$6)))+(RemiseCoef!forfait)</f>
        <v>3608</v>
      </c>
      <c r="T27" s="10">
        <f>(3761*(((1-RemiseCoef!$B$4)*RemiseCoef!$B$6)))+(RemiseCoef!forfait)</f>
        <v>3761</v>
      </c>
      <c r="U27" s="10">
        <f>(3805*(((1-RemiseCoef!$B$4)*RemiseCoef!$B$6)))+(RemiseCoef!forfait)</f>
        <v>3805</v>
      </c>
      <c r="V27" s="10">
        <f>(3846*(((1-RemiseCoef!$B$4)*RemiseCoef!$B$6)))+(RemiseCoef!forfait)</f>
        <v>3846</v>
      </c>
      <c r="W27" s="10">
        <f>(3913*(((1-RemiseCoef!$B$4)*RemiseCoef!$B$6)))+(RemiseCoef!forfait)</f>
        <v>3913</v>
      </c>
      <c r="X27" s="65"/>
    </row>
    <row r="28" spans="1:24" ht="11.25" customHeight="1" thickBot="1" x14ac:dyDescent="0.3">
      <c r="A28" s="64">
        <f t="shared" si="1"/>
        <v>2950</v>
      </c>
      <c r="B28" s="10">
        <f>(2617*(((1-RemiseCoef!$B$4)*RemiseCoef!$B$6)))+(RemiseCoef!forfait)</f>
        <v>2617</v>
      </c>
      <c r="C28" s="10">
        <f>(2661*(((1-RemiseCoef!$B$4)*RemiseCoef!$B$6)))+(RemiseCoef!forfait)</f>
        <v>2661</v>
      </c>
      <c r="D28" s="10">
        <f>(2703*(((1-RemiseCoef!$B$4)*RemiseCoef!$B$6)))+(RemiseCoef!forfait)</f>
        <v>2703</v>
      </c>
      <c r="E28" s="10">
        <f>(2744*(((1-RemiseCoef!$B$4)*RemiseCoef!$B$6)))+(RemiseCoef!forfait)</f>
        <v>2744</v>
      </c>
      <c r="F28" s="10">
        <f>(2787*(((1-RemiseCoef!$B$4)*RemiseCoef!$B$6)))+(RemiseCoef!forfait)</f>
        <v>2787</v>
      </c>
      <c r="G28" s="10">
        <f>(2870*(((1-RemiseCoef!$B$4)*RemiseCoef!$B$6)))+(RemiseCoef!forfait)</f>
        <v>2870</v>
      </c>
      <c r="H28" s="10">
        <f>(2914*(((1-RemiseCoef!$B$4)*RemiseCoef!$B$6)))+(RemiseCoef!forfait)</f>
        <v>2914</v>
      </c>
      <c r="I28" s="10">
        <f>(2956*(((1-RemiseCoef!$B$4)*RemiseCoef!$B$6)))+(RemiseCoef!forfait)</f>
        <v>2956</v>
      </c>
      <c r="J28" s="10">
        <f>(2997*(((1-RemiseCoef!$B$4)*RemiseCoef!$B$6)))+(RemiseCoef!forfait)</f>
        <v>2997</v>
      </c>
      <c r="K28" s="10">
        <f>(3039*(((1-RemiseCoef!$B$4)*RemiseCoef!$B$6)))+(RemiseCoef!forfait)</f>
        <v>3039</v>
      </c>
      <c r="L28" s="10">
        <f>(3083*(((1-RemiseCoef!$B$4)*RemiseCoef!$B$6)))+(RemiseCoef!forfait)</f>
        <v>3083</v>
      </c>
      <c r="M28" s="10">
        <f>(3125*(((1-RemiseCoef!$B$4)*RemiseCoef!$B$6)))+(RemiseCoef!forfait)</f>
        <v>3125</v>
      </c>
      <c r="N28" s="10">
        <f>(3167*(((1-RemiseCoef!$B$4)*RemiseCoef!$B$6)))+(RemiseCoef!forfait)</f>
        <v>3167</v>
      </c>
      <c r="O28" s="67">
        <f>(3231*(((1-RemiseCoef!$B$4)*RemiseCoef!$B$6)))+(RemiseCoef!forfait)</f>
        <v>3231</v>
      </c>
      <c r="P28" s="68">
        <f>(3272*(((1-RemiseCoef!$B$4)*RemiseCoef!$B$6)))+(RemiseCoef!forfait)</f>
        <v>3272</v>
      </c>
      <c r="Q28" s="10">
        <f>(3560*(((1-RemiseCoef!$B$4)*RemiseCoef!$B$6)))+(RemiseCoef!forfait)</f>
        <v>3560</v>
      </c>
      <c r="R28" s="10">
        <f>(3602*(((1-RemiseCoef!$B$4)*RemiseCoef!$B$6)))+(RemiseCoef!forfait)</f>
        <v>3602</v>
      </c>
      <c r="S28" s="10">
        <f>(3644*(((1-RemiseCoef!$B$4)*RemiseCoef!$B$6)))+(RemiseCoef!forfait)</f>
        <v>3644</v>
      </c>
      <c r="T28" s="10">
        <f>(3799*(((1-RemiseCoef!$B$4)*RemiseCoef!$B$6)))+(RemiseCoef!forfait)</f>
        <v>3799</v>
      </c>
      <c r="U28" s="10">
        <f>(3843*(((1-RemiseCoef!$B$4)*RemiseCoef!$B$6)))+(RemiseCoef!forfait)</f>
        <v>3843</v>
      </c>
      <c r="V28" s="10">
        <f>(3889*(((1-RemiseCoef!$B$4)*RemiseCoef!$B$6)))+(RemiseCoef!forfait)</f>
        <v>3889</v>
      </c>
      <c r="W28" s="10">
        <f>(3955*(((1-RemiseCoef!$B$4)*RemiseCoef!$B$6)))+(RemiseCoef!forfait)</f>
        <v>3955</v>
      </c>
      <c r="X28" s="65"/>
    </row>
    <row r="29" spans="1:24" ht="11.25" customHeight="1" thickBot="1" x14ac:dyDescent="0.3">
      <c r="A29" s="64">
        <f t="shared" si="1"/>
        <v>3050</v>
      </c>
      <c r="B29" s="10">
        <f>(2640*(((1-RemiseCoef!$B$4)*RemiseCoef!$B$6)))+(RemiseCoef!forfait)</f>
        <v>2640</v>
      </c>
      <c r="C29" s="10">
        <f>(2683*(((1-RemiseCoef!$B$4)*RemiseCoef!$B$6)))+(RemiseCoef!forfait)</f>
        <v>2683</v>
      </c>
      <c r="D29" s="10">
        <f>(2726*(((1-RemiseCoef!$B$4)*RemiseCoef!$B$6)))+(RemiseCoef!forfait)</f>
        <v>2726</v>
      </c>
      <c r="E29" s="10">
        <f>(2770*(((1-RemiseCoef!$B$4)*RemiseCoef!$B$6)))+(RemiseCoef!forfait)</f>
        <v>2770</v>
      </c>
      <c r="F29" s="10">
        <f>(2813*(((1-RemiseCoef!$B$4)*RemiseCoef!$B$6)))+(RemiseCoef!forfait)</f>
        <v>2813</v>
      </c>
      <c r="G29" s="10">
        <f>(2897*(((1-RemiseCoef!$B$4)*RemiseCoef!$B$6)))+(RemiseCoef!forfait)</f>
        <v>2897</v>
      </c>
      <c r="H29" s="10">
        <f>(2938*(((1-RemiseCoef!$B$4)*RemiseCoef!$B$6)))+(RemiseCoef!forfait)</f>
        <v>2938</v>
      </c>
      <c r="I29" s="10">
        <f>(2982*(((1-RemiseCoef!$B$4)*RemiseCoef!$B$6)))+(RemiseCoef!forfait)</f>
        <v>2982</v>
      </c>
      <c r="J29" s="10">
        <f>(3026*(((1-RemiseCoef!$B$4)*RemiseCoef!$B$6)))+(RemiseCoef!forfait)</f>
        <v>3026</v>
      </c>
      <c r="K29" s="10">
        <f>(3070*(((1-RemiseCoef!$B$4)*RemiseCoef!$B$6)))+(RemiseCoef!forfait)</f>
        <v>3070</v>
      </c>
      <c r="L29" s="10">
        <f>(3112*(((1-RemiseCoef!$B$4)*RemiseCoef!$B$6)))+(RemiseCoef!forfait)</f>
        <v>3112</v>
      </c>
      <c r="M29" s="10">
        <f>(3156*(((1-RemiseCoef!$B$4)*RemiseCoef!$B$6)))+(RemiseCoef!forfait)</f>
        <v>3156</v>
      </c>
      <c r="N29" s="67">
        <f>(3200*(((1-RemiseCoef!$B$4)*RemiseCoef!$B$6)))+(RemiseCoef!forfait)</f>
        <v>3200</v>
      </c>
      <c r="O29" s="68">
        <f>(3263*(((1-RemiseCoef!$B$4)*RemiseCoef!$B$6)))+(RemiseCoef!forfait)</f>
        <v>3263</v>
      </c>
      <c r="P29" s="10">
        <f>(3549*(((1-RemiseCoef!$B$4)*RemiseCoef!$B$6)))+(RemiseCoef!forfait)</f>
        <v>3549</v>
      </c>
      <c r="Q29" s="10">
        <f>(3594*(((1-RemiseCoef!$B$4)*RemiseCoef!$B$6)))+(RemiseCoef!forfait)</f>
        <v>3594</v>
      </c>
      <c r="R29" s="10">
        <f>(3636*(((1-RemiseCoef!$B$4)*RemiseCoef!$B$6)))+(RemiseCoef!forfait)</f>
        <v>3636</v>
      </c>
      <c r="S29" s="10">
        <f>(3679*(((1-RemiseCoef!$B$4)*RemiseCoef!$B$6)))+(RemiseCoef!forfait)</f>
        <v>3679</v>
      </c>
      <c r="T29" s="10">
        <f>(3838*(((1-RemiseCoef!$B$4)*RemiseCoef!$B$6)))+(RemiseCoef!forfait)</f>
        <v>3838</v>
      </c>
      <c r="U29" s="10">
        <f>(3884*(((1-RemiseCoef!$B$4)*RemiseCoef!$B$6)))+(RemiseCoef!forfait)</f>
        <v>3884</v>
      </c>
      <c r="V29" s="10">
        <f>(3930*(((1-RemiseCoef!$B$4)*RemiseCoef!$B$6)))+(RemiseCoef!forfait)</f>
        <v>3930</v>
      </c>
      <c r="W29" s="10">
        <f>(3995*(((1-RemiseCoef!$B$4)*RemiseCoef!$B$6)))+(RemiseCoef!forfait)</f>
        <v>3995</v>
      </c>
      <c r="X29" s="65"/>
    </row>
    <row r="30" spans="1:24" ht="11.25" customHeight="1" thickBot="1" x14ac:dyDescent="0.3">
      <c r="A30" s="64">
        <f t="shared" si="1"/>
        <v>3150</v>
      </c>
      <c r="B30" s="10">
        <f>(2749*(((1-RemiseCoef!$B$4)*RemiseCoef!$B$6)))+(RemiseCoef!forfait)</f>
        <v>2749</v>
      </c>
      <c r="C30" s="10">
        <f>(2795*(((1-RemiseCoef!$B$4)*RemiseCoef!$B$6)))+(RemiseCoef!forfait)</f>
        <v>2795</v>
      </c>
      <c r="D30" s="10">
        <f>(2843*(((1-RemiseCoef!$B$4)*RemiseCoef!$B$6)))+(RemiseCoef!forfait)</f>
        <v>2843</v>
      </c>
      <c r="E30" s="10">
        <f>(2890*(((1-RemiseCoef!$B$4)*RemiseCoef!$B$6)))+(RemiseCoef!forfait)</f>
        <v>2890</v>
      </c>
      <c r="F30" s="10">
        <f>(2958*(((1-RemiseCoef!$B$4)*RemiseCoef!$B$6)))+(RemiseCoef!forfait)</f>
        <v>2958</v>
      </c>
      <c r="G30" s="10">
        <f>(3026*(((1-RemiseCoef!$B$4)*RemiseCoef!$B$6)))+(RemiseCoef!forfait)</f>
        <v>3026</v>
      </c>
      <c r="H30" s="10">
        <f>(3072*(((1-RemiseCoef!$B$4)*RemiseCoef!$B$6)))+(RemiseCoef!forfait)</f>
        <v>3072</v>
      </c>
      <c r="I30" s="10">
        <f>(3120*(((1-RemiseCoef!$B$4)*RemiseCoef!$B$6)))+(RemiseCoef!forfait)</f>
        <v>3120</v>
      </c>
      <c r="J30" s="10">
        <f>(3167*(((1-RemiseCoef!$B$4)*RemiseCoef!$B$6)))+(RemiseCoef!forfait)</f>
        <v>3167</v>
      </c>
      <c r="K30" s="10">
        <f>(3214*(((1-RemiseCoef!$B$4)*RemiseCoef!$B$6)))+(RemiseCoef!forfait)</f>
        <v>3214</v>
      </c>
      <c r="L30" s="10">
        <f>(3263*(((1-RemiseCoef!$B$4)*RemiseCoef!$B$6)))+(RemiseCoef!forfait)</f>
        <v>3263</v>
      </c>
      <c r="M30" s="67">
        <f>(3310*(((1-RemiseCoef!$B$4)*RemiseCoef!$B$6)))+(RemiseCoef!forfait)</f>
        <v>3310</v>
      </c>
      <c r="N30" s="68">
        <f>(3359*(((1-RemiseCoef!$B$4)*RemiseCoef!$B$6)))+(RemiseCoef!forfait)</f>
        <v>3359</v>
      </c>
      <c r="O30" s="10">
        <f>(3671*(((1-RemiseCoef!$B$4)*RemiseCoef!$B$6)))+(RemiseCoef!forfait)</f>
        <v>3671</v>
      </c>
      <c r="P30" s="10">
        <f>(3717*(((1-RemiseCoef!$B$4)*RemiseCoef!$B$6)))+(RemiseCoef!forfait)</f>
        <v>3717</v>
      </c>
      <c r="Q30" s="10">
        <f>(3765*(((1-RemiseCoef!$B$4)*RemiseCoef!$B$6)))+(RemiseCoef!forfait)</f>
        <v>3765</v>
      </c>
      <c r="R30" s="10">
        <f>(3811*(((1-RemiseCoef!$B$4)*RemiseCoef!$B$6)))+(RemiseCoef!forfait)</f>
        <v>3811</v>
      </c>
      <c r="S30" s="10">
        <f>(3859*(((1-RemiseCoef!$B$4)*RemiseCoef!$B$6)))+(RemiseCoef!forfait)</f>
        <v>3859</v>
      </c>
      <c r="T30" s="10">
        <f>(3877*(((1-RemiseCoef!$B$4)*RemiseCoef!$B$6)))+(RemiseCoef!forfait)</f>
        <v>3877</v>
      </c>
      <c r="U30" s="10">
        <f>(3925*(((1-RemiseCoef!$B$4)*RemiseCoef!$B$6)))+(RemiseCoef!forfait)</f>
        <v>3925</v>
      </c>
      <c r="V30" s="10">
        <f>(3971*(((1-RemiseCoef!$B$4)*RemiseCoef!$B$6)))+(RemiseCoef!forfait)</f>
        <v>3971</v>
      </c>
      <c r="W30" s="10">
        <f>(4038*(((1-RemiseCoef!$B$4)*RemiseCoef!$B$6)))+(RemiseCoef!forfait)</f>
        <v>4038</v>
      </c>
      <c r="X30" s="65"/>
    </row>
    <row r="31" spans="1:24" ht="11.25" customHeight="1" thickBot="1" x14ac:dyDescent="0.3">
      <c r="A31" s="64">
        <f t="shared" si="1"/>
        <v>3250</v>
      </c>
      <c r="B31" s="10">
        <f>(2789*(((1-RemiseCoef!$B$4)*RemiseCoef!$B$6)))+(RemiseCoef!forfait)</f>
        <v>2789</v>
      </c>
      <c r="C31" s="10">
        <f>(2838*(((1-RemiseCoef!$B$4)*RemiseCoef!$B$6)))+(RemiseCoef!forfait)</f>
        <v>2838</v>
      </c>
      <c r="D31" s="10">
        <f>(2886*(((1-RemiseCoef!$B$4)*RemiseCoef!$B$6)))+(RemiseCoef!forfait)</f>
        <v>2886</v>
      </c>
      <c r="E31" s="10">
        <f>(2956*(((1-RemiseCoef!$B$4)*RemiseCoef!$B$6)))+(RemiseCoef!forfait)</f>
        <v>2956</v>
      </c>
      <c r="F31" s="10">
        <f>(3005*(((1-RemiseCoef!$B$4)*RemiseCoef!$B$6)))+(RemiseCoef!forfait)</f>
        <v>3005</v>
      </c>
      <c r="G31" s="10">
        <f>(3073*(((1-RemiseCoef!$B$4)*RemiseCoef!$B$6)))+(RemiseCoef!forfait)</f>
        <v>3073</v>
      </c>
      <c r="H31" s="10">
        <f>(3124*(((1-RemiseCoef!$B$4)*RemiseCoef!$B$6)))+(RemiseCoef!forfait)</f>
        <v>3124</v>
      </c>
      <c r="I31" s="10">
        <f>(3174*(((1-RemiseCoef!$B$4)*RemiseCoef!$B$6)))+(RemiseCoef!forfait)</f>
        <v>3174</v>
      </c>
      <c r="J31" s="10">
        <f>(3221*(((1-RemiseCoef!$B$4)*RemiseCoef!$B$6)))+(RemiseCoef!forfait)</f>
        <v>3221</v>
      </c>
      <c r="K31" s="10">
        <f>(3271*(((1-RemiseCoef!$B$4)*RemiseCoef!$B$6)))+(RemiseCoef!forfait)</f>
        <v>3271</v>
      </c>
      <c r="L31" s="67">
        <f>(3320*(((1-RemiseCoef!$B$4)*RemiseCoef!$B$6)))+(RemiseCoef!forfait)</f>
        <v>3320</v>
      </c>
      <c r="M31" s="68">
        <f>(3368*(((1-RemiseCoef!$B$4)*RemiseCoef!$B$6)))+(RemiseCoef!forfait)</f>
        <v>3368</v>
      </c>
      <c r="N31" s="10">
        <f>(3662*(((1-RemiseCoef!$B$4)*RemiseCoef!$B$6)))+(RemiseCoef!forfait)</f>
        <v>3662</v>
      </c>
      <c r="O31" s="10">
        <f>(3732*(((1-RemiseCoef!$B$4)*RemiseCoef!$B$6)))+(RemiseCoef!forfait)</f>
        <v>3732</v>
      </c>
      <c r="P31" s="10">
        <f>(3782*(((1-RemiseCoef!$B$4)*RemiseCoef!$B$6)))+(RemiseCoef!forfait)</f>
        <v>3782</v>
      </c>
      <c r="Q31" s="10">
        <f>(3830*(((1-RemiseCoef!$B$4)*RemiseCoef!$B$6)))+(RemiseCoef!forfait)</f>
        <v>3830</v>
      </c>
      <c r="R31" s="10">
        <f>(3880*(((1-RemiseCoef!$B$4)*RemiseCoef!$B$6)))+(RemiseCoef!forfait)</f>
        <v>3880</v>
      </c>
      <c r="S31" s="10">
        <f>(3929*(((1-RemiseCoef!$B$4)*RemiseCoef!$B$6)))+(RemiseCoef!forfait)</f>
        <v>3929</v>
      </c>
      <c r="T31" s="10">
        <f>(3947*(((1-RemiseCoef!$B$4)*RemiseCoef!$B$6)))+(RemiseCoef!forfait)</f>
        <v>3947</v>
      </c>
      <c r="U31" s="10">
        <f>(3994*(((1-RemiseCoef!$B$4)*RemiseCoef!$B$6)))+(RemiseCoef!forfait)</f>
        <v>3994</v>
      </c>
      <c r="V31" s="10">
        <f>(4044*(((1-RemiseCoef!$B$4)*RemiseCoef!$B$6)))+(RemiseCoef!forfait)</f>
        <v>4044</v>
      </c>
      <c r="W31" s="10">
        <f>(4113*(((1-RemiseCoef!$B$4)*RemiseCoef!$B$6)))+(RemiseCoef!forfait)</f>
        <v>4113</v>
      </c>
      <c r="X31" s="65"/>
    </row>
    <row r="32" spans="1:24" ht="11.25" customHeight="1" thickBot="1" x14ac:dyDescent="0.3">
      <c r="A32" s="64">
        <f t="shared" si="1"/>
        <v>3350</v>
      </c>
      <c r="B32" s="10">
        <f>(2813*(((1-RemiseCoef!$B$4)*RemiseCoef!$B$6)))+(RemiseCoef!forfait)</f>
        <v>2813</v>
      </c>
      <c r="C32" s="10">
        <f>(2863*(((1-RemiseCoef!$B$4)*RemiseCoef!$B$6)))+(RemiseCoef!forfait)</f>
        <v>2863</v>
      </c>
      <c r="D32" s="10">
        <f>(2914*(((1-RemiseCoef!$B$4)*RemiseCoef!$B$6)))+(RemiseCoef!forfait)</f>
        <v>2914</v>
      </c>
      <c r="E32" s="10">
        <f>(2982*(((1-RemiseCoef!$B$4)*RemiseCoef!$B$6)))+(RemiseCoef!forfait)</f>
        <v>2982</v>
      </c>
      <c r="F32" s="10">
        <f>(3032*(((1-RemiseCoef!$B$4)*RemiseCoef!$B$6)))+(RemiseCoef!forfait)</f>
        <v>3032</v>
      </c>
      <c r="G32" s="10">
        <f>(3102*(((1-RemiseCoef!$B$4)*RemiseCoef!$B$6)))+(RemiseCoef!forfait)</f>
        <v>3102</v>
      </c>
      <c r="H32" s="10">
        <f>(3154*(((1-RemiseCoef!$B$4)*RemiseCoef!$B$6)))+(RemiseCoef!forfait)</f>
        <v>3154</v>
      </c>
      <c r="I32" s="10">
        <f>(3203*(((1-RemiseCoef!$B$4)*RemiseCoef!$B$6)))+(RemiseCoef!forfait)</f>
        <v>3203</v>
      </c>
      <c r="J32" s="10">
        <f>(3254*(((1-RemiseCoef!$B$4)*RemiseCoef!$B$6)))+(RemiseCoef!forfait)</f>
        <v>3254</v>
      </c>
      <c r="K32" s="67">
        <f>(3302*(((1-RemiseCoef!$B$4)*RemiseCoef!$B$6)))+(RemiseCoef!forfait)</f>
        <v>3302</v>
      </c>
      <c r="L32" s="68">
        <f>(3352*(((1-RemiseCoef!$B$4)*RemiseCoef!$B$6)))+(RemiseCoef!forfait)</f>
        <v>3352</v>
      </c>
      <c r="M32" s="10">
        <f>(3647*(((1-RemiseCoef!$B$4)*RemiseCoef!$B$6)))+(RemiseCoef!forfait)</f>
        <v>3647</v>
      </c>
      <c r="N32" s="10">
        <f>(3697*(((1-RemiseCoef!$B$4)*RemiseCoef!$B$6)))+(RemiseCoef!forfait)</f>
        <v>3697</v>
      </c>
      <c r="O32" s="10">
        <f>(3767*(((1-RemiseCoef!$B$4)*RemiseCoef!$B$6)))+(RemiseCoef!forfait)</f>
        <v>3767</v>
      </c>
      <c r="P32" s="10">
        <f>(3817*(((1-RemiseCoef!$B$4)*RemiseCoef!$B$6)))+(RemiseCoef!forfait)</f>
        <v>3817</v>
      </c>
      <c r="Q32" s="10">
        <f>(3867*(((1-RemiseCoef!$B$4)*RemiseCoef!$B$6)))+(RemiseCoef!forfait)</f>
        <v>3867</v>
      </c>
      <c r="R32" s="10">
        <f>(3917*(((1-RemiseCoef!$B$4)*RemiseCoef!$B$6)))+(RemiseCoef!forfait)</f>
        <v>3917</v>
      </c>
      <c r="S32" s="10">
        <f>(3968*(((1-RemiseCoef!$B$4)*RemiseCoef!$B$6)))+(RemiseCoef!forfait)</f>
        <v>3968</v>
      </c>
      <c r="T32" s="10">
        <f>(3987*(((1-RemiseCoef!$B$4)*RemiseCoef!$B$6)))+(RemiseCoef!forfait)</f>
        <v>3987</v>
      </c>
      <c r="U32" s="10">
        <f>(4036*(((1-RemiseCoef!$B$4)*RemiseCoef!$B$6)))+(RemiseCoef!forfait)</f>
        <v>4036</v>
      </c>
      <c r="V32" s="10">
        <f>(4084*(((1-RemiseCoef!$B$4)*RemiseCoef!$B$6)))+(RemiseCoef!forfait)</f>
        <v>4084</v>
      </c>
      <c r="W32" s="10">
        <f>(4154*(((1-RemiseCoef!$B$4)*RemiseCoef!$B$6)))+(RemiseCoef!forfait)</f>
        <v>4154</v>
      </c>
      <c r="X32" s="65"/>
    </row>
    <row r="33" spans="1:24" ht="11.25" customHeight="1" x14ac:dyDescent="0.25">
      <c r="A33" s="64">
        <f t="shared" si="1"/>
        <v>3450</v>
      </c>
      <c r="B33" s="10">
        <f>(2838*(((1-RemiseCoef!$B$4)*RemiseCoef!$B$6)))+(RemiseCoef!forfait)</f>
        <v>2838</v>
      </c>
      <c r="C33" s="10">
        <f>(2888*(((1-RemiseCoef!$B$4)*RemiseCoef!$B$6)))+(RemiseCoef!forfait)</f>
        <v>2888</v>
      </c>
      <c r="D33" s="10">
        <f>(2959*(((1-RemiseCoef!$B$4)*RemiseCoef!$B$6)))+(RemiseCoef!forfait)</f>
        <v>2959</v>
      </c>
      <c r="E33" s="10">
        <f>(3009*(((1-RemiseCoef!$B$4)*RemiseCoef!$B$6)))+(RemiseCoef!forfait)</f>
        <v>3009</v>
      </c>
      <c r="F33" s="10">
        <f>(3062*(((1-RemiseCoef!$B$4)*RemiseCoef!$B$6)))+(RemiseCoef!forfait)</f>
        <v>3062</v>
      </c>
      <c r="G33" s="10">
        <f>(3131*(((1-RemiseCoef!$B$4)*RemiseCoef!$B$6)))+(RemiseCoef!forfait)</f>
        <v>3131</v>
      </c>
      <c r="H33" s="10">
        <f>(3183*(((1-RemiseCoef!$B$4)*RemiseCoef!$B$6)))+(RemiseCoef!forfait)</f>
        <v>3183</v>
      </c>
      <c r="I33" s="10">
        <f>(3233*(((1-RemiseCoef!$B$4)*RemiseCoef!$B$6)))+(RemiseCoef!forfait)</f>
        <v>3233</v>
      </c>
      <c r="J33" s="70">
        <f>(3284*(((1-RemiseCoef!$B$4)*RemiseCoef!$B$6)))+(RemiseCoef!forfait)</f>
        <v>3284</v>
      </c>
      <c r="K33" s="68">
        <f>(3336*(((1-RemiseCoef!$B$4)*RemiseCoef!$B$6)))+(RemiseCoef!forfait)</f>
        <v>3336</v>
      </c>
      <c r="L33" s="10">
        <f>(3631*(((1-RemiseCoef!$B$4)*RemiseCoef!$B$6)))+(RemiseCoef!forfait)</f>
        <v>3631</v>
      </c>
      <c r="M33" s="10">
        <f>(3680*(((1-RemiseCoef!$B$4)*RemiseCoef!$B$6)))+(RemiseCoef!forfait)</f>
        <v>3680</v>
      </c>
      <c r="N33" s="10">
        <f>(3732*(((1-RemiseCoef!$B$4)*RemiseCoef!$B$6)))+(RemiseCoef!forfait)</f>
        <v>3732</v>
      </c>
      <c r="O33" s="10">
        <f>(3802*(((1-RemiseCoef!$B$4)*RemiseCoef!$B$6)))+(RemiseCoef!forfait)</f>
        <v>3802</v>
      </c>
      <c r="P33" s="10">
        <f>(3855*(((1-RemiseCoef!$B$4)*RemiseCoef!$B$6)))+(RemiseCoef!forfait)</f>
        <v>3855</v>
      </c>
      <c r="Q33" s="10">
        <f>(3904*(((1-RemiseCoef!$B$4)*RemiseCoef!$B$6)))+(RemiseCoef!forfait)</f>
        <v>3904</v>
      </c>
      <c r="R33" s="10">
        <f>(3956*(((1-RemiseCoef!$B$4)*RemiseCoef!$B$6)))+(RemiseCoef!forfait)</f>
        <v>3956</v>
      </c>
      <c r="S33" s="10">
        <f>(4007*(((1-RemiseCoef!$B$4)*RemiseCoef!$B$6)))+(RemiseCoef!forfait)</f>
        <v>4007</v>
      </c>
      <c r="T33" s="10">
        <f>(4024*(((1-RemiseCoef!$B$4)*RemiseCoef!$B$6)))+(RemiseCoef!forfait)</f>
        <v>4024</v>
      </c>
      <c r="U33" s="10">
        <f>(4076*(((1-RemiseCoef!$B$4)*RemiseCoef!$B$6)))+(RemiseCoef!forfait)</f>
        <v>4076</v>
      </c>
      <c r="V33" s="10">
        <f>(4126*(((1-RemiseCoef!$B$4)*RemiseCoef!$B$6)))+(RemiseCoef!forfait)</f>
        <v>4126</v>
      </c>
      <c r="W33" s="10">
        <f>(4306*(((1-RemiseCoef!$B$4)*RemiseCoef!$B$6)))+(RemiseCoef!forfait)</f>
        <v>4306</v>
      </c>
      <c r="X33" s="65"/>
    </row>
    <row r="34" spans="1:24" ht="11.25" customHeight="1" x14ac:dyDescent="0.25">
      <c r="A34" s="64">
        <f>A33+100</f>
        <v>3550</v>
      </c>
      <c r="B34" s="10">
        <f>(2877*(((1-RemiseCoef!$B$4)*RemiseCoef!$B$6)))+(RemiseCoef!forfait)</f>
        <v>2877</v>
      </c>
      <c r="C34" s="10">
        <f>(2930*(((1-RemiseCoef!$B$4)*RemiseCoef!$B$6)))+(RemiseCoef!forfait)</f>
        <v>2930</v>
      </c>
      <c r="D34" s="10">
        <f>(3002*(((1-RemiseCoef!$B$4)*RemiseCoef!$B$6)))+(RemiseCoef!forfait)</f>
        <v>3002</v>
      </c>
      <c r="E34" s="10">
        <f>(3054*(((1-RemiseCoef!$B$4)*RemiseCoef!$B$6)))+(RemiseCoef!forfait)</f>
        <v>3054</v>
      </c>
      <c r="F34" s="10">
        <f>(3108*(((1-RemiseCoef!$B$4)*RemiseCoef!$B$6)))+(RemiseCoef!forfait)</f>
        <v>3108</v>
      </c>
      <c r="G34" s="10">
        <f>(3181*(((1-RemiseCoef!$B$4)*RemiseCoef!$B$6)))+(RemiseCoef!forfait)</f>
        <v>3181</v>
      </c>
      <c r="H34" s="10">
        <f>(3233*(((1-RemiseCoef!$B$4)*RemiseCoef!$B$6)))+(RemiseCoef!forfait)</f>
        <v>3233</v>
      </c>
      <c r="I34" s="10">
        <f>(3287*(((1-RemiseCoef!$B$4)*RemiseCoef!$B$6)))+(RemiseCoef!forfait)</f>
        <v>3287</v>
      </c>
      <c r="J34" s="70">
        <f>(3338*(((1-RemiseCoef!$B$4)*RemiseCoef!$B$6)))+(RemiseCoef!forfait)</f>
        <v>3338</v>
      </c>
      <c r="K34" s="71">
        <f>(3635*(((1-RemiseCoef!$B$4)*RemiseCoef!$B$6)))+(RemiseCoef!forfait)</f>
        <v>3635</v>
      </c>
      <c r="L34" s="10">
        <f>(3688*(((1-RemiseCoef!$B$4)*RemiseCoef!$B$6)))+(RemiseCoef!forfait)</f>
        <v>3688</v>
      </c>
      <c r="M34" s="10">
        <f>(3740*(((1-RemiseCoef!$B$4)*RemiseCoef!$B$6)))+(RemiseCoef!forfait)</f>
        <v>3740</v>
      </c>
      <c r="N34" s="10">
        <f>(3792*(((1-RemiseCoef!$B$4)*RemiseCoef!$B$6)))+(RemiseCoef!forfait)</f>
        <v>3792</v>
      </c>
      <c r="O34" s="10">
        <f>(3865*(((1-RemiseCoef!$B$4)*RemiseCoef!$B$6)))+(RemiseCoef!forfait)</f>
        <v>3865</v>
      </c>
      <c r="P34" s="10">
        <f>(3918*(((1-RemiseCoef!$B$4)*RemiseCoef!$B$6)))+(RemiseCoef!forfait)</f>
        <v>3918</v>
      </c>
      <c r="Q34" s="10">
        <f>(3971*(((1-RemiseCoef!$B$4)*RemiseCoef!$B$6)))+(RemiseCoef!forfait)</f>
        <v>3971</v>
      </c>
      <c r="R34" s="10">
        <f>(4023*(((1-RemiseCoef!$B$4)*RemiseCoef!$B$6)))+(RemiseCoef!forfait)</f>
        <v>4023</v>
      </c>
      <c r="S34" s="10">
        <f>(4076*(((1-RemiseCoef!$B$4)*RemiseCoef!$B$6)))+(RemiseCoef!forfait)</f>
        <v>4076</v>
      </c>
      <c r="T34" s="10">
        <f>(4095*(((1-RemiseCoef!$B$4)*RemiseCoef!$B$6)))+(RemiseCoef!forfait)</f>
        <v>4095</v>
      </c>
      <c r="U34" s="10">
        <f>(4148*(((1-RemiseCoef!$B$4)*RemiseCoef!$B$6)))+(RemiseCoef!forfait)</f>
        <v>4148</v>
      </c>
      <c r="V34" s="10">
        <f>(4310*(((1-RemiseCoef!$B$4)*RemiseCoef!$B$6)))+(RemiseCoef!forfait)</f>
        <v>4310</v>
      </c>
      <c r="W34" s="10">
        <f>(4381*(((1-RemiseCoef!$B$4)*RemiseCoef!$B$6)))+(RemiseCoef!forfait)</f>
        <v>4381</v>
      </c>
      <c r="X34" s="72"/>
    </row>
    <row r="35" spans="1:24" ht="11.25" customHeight="1" x14ac:dyDescent="0.25">
      <c r="A35" s="9"/>
      <c r="B35" s="9"/>
      <c r="C35" s="9"/>
      <c r="D35" s="9"/>
      <c r="E35" s="9"/>
      <c r="F35" s="9"/>
      <c r="G35" s="9"/>
      <c r="H35" s="9"/>
      <c r="I35" s="9"/>
      <c r="J35" s="9"/>
      <c r="K35" s="73" t="s">
        <v>95</v>
      </c>
      <c r="L35" s="9"/>
      <c r="M35" s="9"/>
      <c r="N35" s="9"/>
      <c r="O35" s="9"/>
      <c r="P35" s="9"/>
      <c r="Q35" s="9"/>
      <c r="R35" s="9"/>
      <c r="S35" s="9"/>
      <c r="T35" s="9"/>
      <c r="U35" s="9"/>
      <c r="V35" s="9"/>
      <c r="W35" s="9"/>
      <c r="X35" s="9"/>
    </row>
    <row r="36" spans="1:24" ht="11.25" customHeight="1" x14ac:dyDescent="0.25">
      <c r="A36" s="62" t="s">
        <v>13</v>
      </c>
      <c r="B36" s="62">
        <v>4000</v>
      </c>
      <c r="C36" s="62">
        <f t="shared" ref="C36:L36" si="2">B36+100</f>
        <v>4100</v>
      </c>
      <c r="D36" s="62">
        <f t="shared" si="2"/>
        <v>4200</v>
      </c>
      <c r="E36" s="62">
        <f t="shared" si="2"/>
        <v>4300</v>
      </c>
      <c r="F36" s="62">
        <f t="shared" si="2"/>
        <v>4400</v>
      </c>
      <c r="G36" s="62">
        <f t="shared" si="2"/>
        <v>4500</v>
      </c>
      <c r="H36" s="62">
        <f t="shared" si="2"/>
        <v>4600</v>
      </c>
      <c r="I36" s="62">
        <f t="shared" si="2"/>
        <v>4700</v>
      </c>
      <c r="J36" s="62">
        <f t="shared" si="2"/>
        <v>4800</v>
      </c>
      <c r="K36" s="62">
        <f t="shared" si="2"/>
        <v>4900</v>
      </c>
      <c r="L36" s="74">
        <f t="shared" si="2"/>
        <v>5000</v>
      </c>
      <c r="M36" s="9"/>
      <c r="N36" s="9"/>
      <c r="O36" s="9"/>
      <c r="P36" s="9"/>
      <c r="Q36" s="9"/>
      <c r="R36" s="9"/>
      <c r="S36" s="9"/>
      <c r="T36" s="9"/>
      <c r="U36" s="9"/>
      <c r="V36" s="9"/>
      <c r="W36" s="9"/>
      <c r="X36" s="9"/>
    </row>
    <row r="37" spans="1:24" ht="11.25" customHeight="1" thickBot="1" x14ac:dyDescent="0.3">
      <c r="A37" s="64">
        <v>1850</v>
      </c>
      <c r="B37" s="10">
        <f>(3185*(((1-RemiseCoef!$B$4)*RemiseCoef!$B$6)))+(RemiseCoef!forfait)</f>
        <v>3185</v>
      </c>
      <c r="C37" s="10">
        <f>(3288*(((1-RemiseCoef!$B$4)*RemiseCoef!$B$6)))+(RemiseCoef!forfait)</f>
        <v>3288</v>
      </c>
      <c r="D37" s="10">
        <f>(3322*(((1-RemiseCoef!$B$4)*RemiseCoef!$B$6)))+(RemiseCoef!forfait)</f>
        <v>3322</v>
      </c>
      <c r="E37" s="10">
        <f>(3359*(((1-RemiseCoef!$B$4)*RemiseCoef!$B$6)))+(RemiseCoef!forfait)</f>
        <v>3359</v>
      </c>
      <c r="F37" s="10">
        <f>(3393*(((1-RemiseCoef!$B$4)*RemiseCoef!$B$6)))+(RemiseCoef!forfait)</f>
        <v>3393</v>
      </c>
      <c r="G37" s="10">
        <f>(3428*(((1-RemiseCoef!$B$4)*RemiseCoef!$B$6)))+(RemiseCoef!forfait)</f>
        <v>3428</v>
      </c>
      <c r="H37" s="10">
        <f>(3462*(((1-RemiseCoef!$B$4)*RemiseCoef!$B$6)))+(RemiseCoef!forfait)</f>
        <v>3462</v>
      </c>
      <c r="I37" s="10">
        <f>(3517*(((1-RemiseCoef!$B$4)*RemiseCoef!$B$6)))+(RemiseCoef!forfait)</f>
        <v>3517</v>
      </c>
      <c r="J37" s="10">
        <f>(3552*(((1-RemiseCoef!$B$4)*RemiseCoef!$B$6)))+(RemiseCoef!forfait)</f>
        <v>3552</v>
      </c>
      <c r="K37" s="10">
        <f>(3587*(((1-RemiseCoef!$B$4)*RemiseCoef!$B$6)))+(RemiseCoef!forfait)</f>
        <v>3587</v>
      </c>
      <c r="L37" s="10">
        <f>(3623*(((1-RemiseCoef!$B$4)*RemiseCoef!$B$6)))+(RemiseCoef!forfait)</f>
        <v>3623</v>
      </c>
      <c r="M37" s="9"/>
      <c r="N37" s="75" t="s">
        <v>94</v>
      </c>
      <c r="O37" s="9"/>
      <c r="P37" s="9"/>
      <c r="Q37" s="9"/>
      <c r="R37" s="9"/>
      <c r="S37" s="9"/>
      <c r="T37" s="9"/>
      <c r="U37" s="9"/>
      <c r="V37" s="9"/>
      <c r="W37" s="9"/>
      <c r="X37" s="9"/>
    </row>
    <row r="38" spans="1:24" ht="11.25" customHeight="1" thickBot="1" x14ac:dyDescent="0.3">
      <c r="A38" s="64">
        <f t="shared" ref="A38:A53" si="3">A37+100</f>
        <v>1950</v>
      </c>
      <c r="B38" s="10">
        <f>(3229*(((1-RemiseCoef!$B$4)*RemiseCoef!$B$6)))+(RemiseCoef!forfait)</f>
        <v>3229</v>
      </c>
      <c r="C38" s="10">
        <f>(3332*(((1-RemiseCoef!$B$4)*RemiseCoef!$B$6)))+(RemiseCoef!forfait)</f>
        <v>3332</v>
      </c>
      <c r="D38" s="10">
        <f>(3366*(((1-RemiseCoef!$B$4)*RemiseCoef!$B$6)))+(RemiseCoef!forfait)</f>
        <v>3366</v>
      </c>
      <c r="E38" s="10">
        <f>(3403*(((1-RemiseCoef!$B$4)*RemiseCoef!$B$6)))+(RemiseCoef!forfait)</f>
        <v>3403</v>
      </c>
      <c r="F38" s="10">
        <f>(3438*(((1-RemiseCoef!$B$4)*RemiseCoef!$B$6)))+(RemiseCoef!forfait)</f>
        <v>3438</v>
      </c>
      <c r="G38" s="10">
        <f>(3474*(((1-RemiseCoef!$B$4)*RemiseCoef!$B$6)))+(RemiseCoef!forfait)</f>
        <v>3474</v>
      </c>
      <c r="H38" s="66">
        <f>(3510*(((1-RemiseCoef!$B$4)*RemiseCoef!$B$6)))+(RemiseCoef!forfait)</f>
        <v>3510</v>
      </c>
      <c r="I38" s="67">
        <f>(3567*(((1-RemiseCoef!$B$4)*RemiseCoef!$B$6)))+(RemiseCoef!forfait)</f>
        <v>3567</v>
      </c>
      <c r="J38" s="68">
        <f>(3602*(((1-RemiseCoef!$B$4)*RemiseCoef!$B$6)))+(RemiseCoef!forfait)</f>
        <v>3602</v>
      </c>
      <c r="K38" s="69">
        <f>(3882*(((1-RemiseCoef!$B$4)*RemiseCoef!$B$6)))+(RemiseCoef!forfait)</f>
        <v>3882</v>
      </c>
      <c r="L38" s="10">
        <f>(3918*(((1-RemiseCoef!$B$4)*RemiseCoef!$B$6)))+(RemiseCoef!forfait)</f>
        <v>3918</v>
      </c>
      <c r="M38" s="9"/>
      <c r="N38" s="9"/>
      <c r="O38" s="9"/>
      <c r="P38" s="9"/>
      <c r="Q38" s="9"/>
      <c r="R38" s="9"/>
      <c r="S38" s="9"/>
      <c r="T38" s="9"/>
      <c r="U38" s="9"/>
      <c r="V38" s="9"/>
      <c r="W38" s="9"/>
      <c r="X38" s="9"/>
    </row>
    <row r="39" spans="1:24" ht="11.25" customHeight="1" thickBot="1" x14ac:dyDescent="0.3">
      <c r="A39" s="64">
        <f t="shared" si="3"/>
        <v>2050</v>
      </c>
      <c r="B39" s="10">
        <f>(3271*(((1-RemiseCoef!$B$4)*RemiseCoef!$B$6)))+(RemiseCoef!forfait)</f>
        <v>3271</v>
      </c>
      <c r="C39" s="10">
        <f>(3374*(((1-RemiseCoef!$B$4)*RemiseCoef!$B$6)))+(RemiseCoef!forfait)</f>
        <v>3374</v>
      </c>
      <c r="D39" s="10">
        <f>(3411*(((1-RemiseCoef!$B$4)*RemiseCoef!$B$6)))+(RemiseCoef!forfait)</f>
        <v>3411</v>
      </c>
      <c r="E39" s="66">
        <f>(3448*(((1-RemiseCoef!$B$4)*RemiseCoef!$B$6)))+(RemiseCoef!forfait)</f>
        <v>3448</v>
      </c>
      <c r="F39" s="66">
        <f>(3484*(((1-RemiseCoef!$B$4)*RemiseCoef!$B$6)))+(RemiseCoef!forfait)</f>
        <v>3484</v>
      </c>
      <c r="G39" s="67">
        <f>(3522*(((1-RemiseCoef!$B$4)*RemiseCoef!$B$6)))+(RemiseCoef!forfait)</f>
        <v>3522</v>
      </c>
      <c r="H39" s="68">
        <f>(3558*(((1-RemiseCoef!$B$4)*RemiseCoef!$B$6)))+(RemiseCoef!forfait)</f>
        <v>3558</v>
      </c>
      <c r="I39" s="69">
        <f>(3859*(((1-RemiseCoef!$B$4)*RemiseCoef!$B$6)))+(RemiseCoef!forfait)</f>
        <v>3859</v>
      </c>
      <c r="J39" s="10">
        <f>(3896*(((1-RemiseCoef!$B$4)*RemiseCoef!$B$6)))+(RemiseCoef!forfait)</f>
        <v>3896</v>
      </c>
      <c r="K39" s="10">
        <f>(3932*(((1-RemiseCoef!$B$4)*RemiseCoef!$B$6)))+(RemiseCoef!forfait)</f>
        <v>3932</v>
      </c>
      <c r="L39" s="10">
        <f>(3969*(((1-RemiseCoef!$B$4)*RemiseCoef!$B$6)))+(RemiseCoef!forfait)</f>
        <v>3969</v>
      </c>
      <c r="M39" s="9"/>
      <c r="N39" s="9"/>
      <c r="O39" s="9"/>
      <c r="P39" s="9"/>
      <c r="Q39" s="9"/>
      <c r="R39" s="9"/>
      <c r="S39" s="9"/>
      <c r="T39" s="9"/>
      <c r="U39" s="9"/>
      <c r="V39" s="9"/>
      <c r="W39" s="9"/>
      <c r="X39" s="9"/>
    </row>
    <row r="40" spans="1:24" ht="11.25" customHeight="1" thickBot="1" x14ac:dyDescent="0.3">
      <c r="A40" s="64">
        <f t="shared" si="3"/>
        <v>2150</v>
      </c>
      <c r="B40" s="10">
        <f>(3314*(((1-RemiseCoef!$B$4)*RemiseCoef!$B$6)))+(RemiseCoef!forfait)</f>
        <v>3314</v>
      </c>
      <c r="C40" s="10">
        <f>(3418*(((1-RemiseCoef!$B$4)*RemiseCoef!$B$6)))+(RemiseCoef!forfait)</f>
        <v>3418</v>
      </c>
      <c r="D40" s="67">
        <f>(3454*(((1-RemiseCoef!$B$4)*RemiseCoef!$B$6)))+(RemiseCoef!forfait)</f>
        <v>3454</v>
      </c>
      <c r="E40" s="68">
        <f>(3493*(((1-RemiseCoef!$B$4)*RemiseCoef!$B$6)))+(RemiseCoef!forfait)</f>
        <v>3493</v>
      </c>
      <c r="F40" s="69">
        <f>(3529*(((1-RemiseCoef!$B$4)*RemiseCoef!$B$6)))+(RemiseCoef!forfait)</f>
        <v>3529</v>
      </c>
      <c r="G40" s="69">
        <f>(3811*(((1-RemiseCoef!$B$4)*RemiseCoef!$B$6)))+(RemiseCoef!forfait)</f>
        <v>3811</v>
      </c>
      <c r="H40" s="10">
        <f>(3851*(((1-RemiseCoef!$B$4)*RemiseCoef!$B$6)))+(RemiseCoef!forfait)</f>
        <v>3851</v>
      </c>
      <c r="I40" s="10">
        <f>(3907*(((1-RemiseCoef!$B$4)*RemiseCoef!$B$6)))+(RemiseCoef!forfait)</f>
        <v>3907</v>
      </c>
      <c r="J40" s="10">
        <f>(3945*(((1-RemiseCoef!$B$4)*RemiseCoef!$B$6)))+(RemiseCoef!forfait)</f>
        <v>3945</v>
      </c>
      <c r="K40" s="10">
        <f>(3983*(((1-RemiseCoef!$B$4)*RemiseCoef!$B$6)))+(RemiseCoef!forfait)</f>
        <v>3983</v>
      </c>
      <c r="L40" s="10">
        <f>(4020*(((1-RemiseCoef!$B$4)*RemiseCoef!$B$6)))+(RemiseCoef!forfait)</f>
        <v>4020</v>
      </c>
      <c r="M40" s="9"/>
      <c r="N40" s="9"/>
      <c r="O40" s="9"/>
      <c r="P40" s="9"/>
      <c r="Q40" s="9"/>
      <c r="R40" s="9"/>
      <c r="S40" s="9"/>
      <c r="T40" s="9"/>
      <c r="U40" s="9"/>
      <c r="V40" s="9"/>
      <c r="W40" s="9"/>
      <c r="X40" s="9"/>
    </row>
    <row r="41" spans="1:24" ht="11.25" customHeight="1" thickBot="1" x14ac:dyDescent="0.3">
      <c r="A41" s="64">
        <f t="shared" si="3"/>
        <v>2250</v>
      </c>
      <c r="B41" s="66">
        <f>(3389*(((1-RemiseCoef!$B$4)*RemiseCoef!$B$6)))+(RemiseCoef!forfait)</f>
        <v>3389</v>
      </c>
      <c r="C41" s="67">
        <f>(3496*(((1-RemiseCoef!$B$4)*RemiseCoef!$B$6)))+(RemiseCoef!forfait)</f>
        <v>3496</v>
      </c>
      <c r="D41" s="68">
        <f>(3535*(((1-RemiseCoef!$B$4)*RemiseCoef!$B$6)))+(RemiseCoef!forfait)</f>
        <v>3535</v>
      </c>
      <c r="E41" s="10">
        <f>(3819*(((1-RemiseCoef!$B$4)*RemiseCoef!$B$6)))+(RemiseCoef!forfait)</f>
        <v>3819</v>
      </c>
      <c r="F41" s="10">
        <f>(3858*(((1-RemiseCoef!$B$4)*RemiseCoef!$B$6)))+(RemiseCoef!forfait)</f>
        <v>3858</v>
      </c>
      <c r="G41" s="10">
        <f>(3897*(((1-RemiseCoef!$B$4)*RemiseCoef!$B$6)))+(RemiseCoef!forfait)</f>
        <v>3897</v>
      </c>
      <c r="H41" s="10">
        <f>(3935*(((1-RemiseCoef!$B$4)*RemiseCoef!$B$6)))+(RemiseCoef!forfait)</f>
        <v>3935</v>
      </c>
      <c r="I41" s="10">
        <f>(3994*(((1-RemiseCoef!$B$4)*RemiseCoef!$B$6)))+(RemiseCoef!forfait)</f>
        <v>3994</v>
      </c>
      <c r="J41" s="10">
        <f>(4036*(((1-RemiseCoef!$B$4)*RemiseCoef!$B$6)))+(RemiseCoef!forfait)</f>
        <v>4036</v>
      </c>
      <c r="K41" s="10">
        <f>(4075*(((1-RemiseCoef!$B$4)*RemiseCoef!$B$6)))+(RemiseCoef!forfait)</f>
        <v>4075</v>
      </c>
      <c r="L41" s="10">
        <f>(4113*(((1-RemiseCoef!$B$4)*RemiseCoef!$B$6)))+(RemiseCoef!forfait)</f>
        <v>4113</v>
      </c>
      <c r="M41" s="9"/>
      <c r="N41" s="9"/>
      <c r="O41" s="9"/>
      <c r="P41" s="9"/>
      <c r="Q41" s="9"/>
      <c r="R41" s="9"/>
      <c r="S41" s="9"/>
      <c r="T41" s="9"/>
      <c r="U41" s="9"/>
      <c r="V41" s="9"/>
      <c r="W41" s="9"/>
      <c r="X41" s="9"/>
    </row>
    <row r="42" spans="1:24" ht="11.25" customHeight="1" x14ac:dyDescent="0.25">
      <c r="A42" s="76">
        <f t="shared" si="3"/>
        <v>2350</v>
      </c>
      <c r="B42" s="68">
        <f>(3432*(((1-RemiseCoef!$B$4)*RemiseCoef!$B$6)))+(RemiseCoef!forfait)</f>
        <v>3432</v>
      </c>
      <c r="C42" s="69">
        <f>(3784*(((1-RemiseCoef!$B$4)*RemiseCoef!$B$6)))+(RemiseCoef!forfait)</f>
        <v>3784</v>
      </c>
      <c r="D42" s="10">
        <f>(3824*(((1-RemiseCoef!$B$4)*RemiseCoef!$B$6)))+(RemiseCoef!forfait)</f>
        <v>3824</v>
      </c>
      <c r="E42" s="10">
        <f>(3863*(((1-RemiseCoef!$B$4)*RemiseCoef!$B$6)))+(RemiseCoef!forfait)</f>
        <v>3863</v>
      </c>
      <c r="F42" s="10">
        <f>(3903*(((1-RemiseCoef!$B$4)*RemiseCoef!$B$6)))+(RemiseCoef!forfait)</f>
        <v>3903</v>
      </c>
      <c r="G42" s="10">
        <f>(3944*(((1-RemiseCoef!$B$4)*RemiseCoef!$B$6)))+(RemiseCoef!forfait)</f>
        <v>3944</v>
      </c>
      <c r="H42" s="10">
        <f>(3985*(((1-RemiseCoef!$B$4)*RemiseCoef!$B$6)))+(RemiseCoef!forfait)</f>
        <v>3985</v>
      </c>
      <c r="I42" s="10">
        <f>(4044*(((1-RemiseCoef!$B$4)*RemiseCoef!$B$6)))+(RemiseCoef!forfait)</f>
        <v>4044</v>
      </c>
      <c r="J42" s="10">
        <f>(4084*(((1-RemiseCoef!$B$4)*RemiseCoef!$B$6)))+(RemiseCoef!forfait)</f>
        <v>4084</v>
      </c>
      <c r="K42" s="10">
        <f>(4124*(((1-RemiseCoef!$B$4)*RemiseCoef!$B$6)))+(RemiseCoef!forfait)</f>
        <v>4124</v>
      </c>
      <c r="L42" s="10">
        <f>(4164*(((1-RemiseCoef!$B$4)*RemiseCoef!$B$6)))+(RemiseCoef!forfait)</f>
        <v>4164</v>
      </c>
      <c r="M42" s="9"/>
      <c r="N42" s="9"/>
      <c r="O42" s="9"/>
      <c r="P42" s="9"/>
      <c r="Q42" s="9"/>
      <c r="R42" s="9"/>
      <c r="S42" s="9"/>
      <c r="T42" s="9"/>
      <c r="U42" s="9"/>
      <c r="V42" s="9"/>
      <c r="W42" s="9"/>
      <c r="X42" s="9"/>
    </row>
    <row r="43" spans="1:24" ht="11.25" customHeight="1" x14ac:dyDescent="0.25">
      <c r="A43" s="76">
        <f t="shared" si="3"/>
        <v>2450</v>
      </c>
      <c r="B43" s="71">
        <f>(3720*(((1-RemiseCoef!$B$4)*RemiseCoef!$B$6)))+(RemiseCoef!forfait)</f>
        <v>3720</v>
      </c>
      <c r="C43" s="10">
        <f>(3827*(((1-RemiseCoef!$B$4)*RemiseCoef!$B$6)))+(RemiseCoef!forfait)</f>
        <v>3827</v>
      </c>
      <c r="D43" s="10">
        <f>(3867*(((1-RemiseCoef!$B$4)*RemiseCoef!$B$6)))+(RemiseCoef!forfait)</f>
        <v>3867</v>
      </c>
      <c r="E43" s="10">
        <f>(3909*(((1-RemiseCoef!$B$4)*RemiseCoef!$B$6)))+(RemiseCoef!forfait)</f>
        <v>3909</v>
      </c>
      <c r="F43" s="10">
        <f>(3949*(((1-RemiseCoef!$B$4)*RemiseCoef!$B$6)))+(RemiseCoef!forfait)</f>
        <v>3949</v>
      </c>
      <c r="G43" s="10">
        <f>(3990*(((1-RemiseCoef!$B$4)*RemiseCoef!$B$6)))+(RemiseCoef!forfait)</f>
        <v>3990</v>
      </c>
      <c r="H43" s="10">
        <f>(4032*(((1-RemiseCoef!$B$4)*RemiseCoef!$B$6)))+(RemiseCoef!forfait)</f>
        <v>4032</v>
      </c>
      <c r="I43" s="10">
        <f>(4092*(((1-RemiseCoef!$B$4)*RemiseCoef!$B$6)))+(RemiseCoef!forfait)</f>
        <v>4092</v>
      </c>
      <c r="J43" s="10">
        <f>(4133*(((1-RemiseCoef!$B$4)*RemiseCoef!$B$6)))+(RemiseCoef!forfait)</f>
        <v>4133</v>
      </c>
      <c r="K43" s="10">
        <f>(4173*(((1-RemiseCoef!$B$4)*RemiseCoef!$B$6)))+(RemiseCoef!forfait)</f>
        <v>4173</v>
      </c>
      <c r="L43" s="10">
        <f>(4215*(((1-RemiseCoef!$B$4)*RemiseCoef!$B$6)))+(RemiseCoef!forfait)</f>
        <v>4215</v>
      </c>
      <c r="M43" s="9"/>
      <c r="N43" s="9"/>
      <c r="O43" s="9"/>
      <c r="P43" s="9"/>
      <c r="Q43" s="9"/>
      <c r="R43" s="9"/>
      <c r="S43" s="9"/>
      <c r="T43" s="9"/>
      <c r="U43" s="9"/>
      <c r="V43" s="9"/>
      <c r="W43" s="9"/>
      <c r="X43" s="9"/>
    </row>
    <row r="44" spans="1:24" ht="11.25" customHeight="1" x14ac:dyDescent="0.25">
      <c r="A44" s="76">
        <f t="shared" si="3"/>
        <v>2550</v>
      </c>
      <c r="B44" s="71">
        <f>(3795*(((1-RemiseCoef!$B$4)*RemiseCoef!$B$6)))+(RemiseCoef!forfait)</f>
        <v>3795</v>
      </c>
      <c r="C44" s="10">
        <f>(3904*(((1-RemiseCoef!$B$4)*RemiseCoef!$B$6)))+(RemiseCoef!forfait)</f>
        <v>3904</v>
      </c>
      <c r="D44" s="10">
        <f>(3947*(((1-RemiseCoef!$B$4)*RemiseCoef!$B$6)))+(RemiseCoef!forfait)</f>
        <v>3947</v>
      </c>
      <c r="E44" s="10">
        <f>(3990*(((1-RemiseCoef!$B$4)*RemiseCoef!$B$6)))+(RemiseCoef!forfait)</f>
        <v>3990</v>
      </c>
      <c r="F44" s="10">
        <f>(4033*(((1-RemiseCoef!$B$4)*RemiseCoef!$B$6)))+(RemiseCoef!forfait)</f>
        <v>4033</v>
      </c>
      <c r="G44" s="10">
        <f>(4076*(((1-RemiseCoef!$B$4)*RemiseCoef!$B$6)))+(RemiseCoef!forfait)</f>
        <v>4076</v>
      </c>
      <c r="H44" s="10">
        <f>(4118*(((1-RemiseCoef!$B$4)*RemiseCoef!$B$6)))+(RemiseCoef!forfait)</f>
        <v>4118</v>
      </c>
      <c r="I44" s="10">
        <f>(4181*(((1-RemiseCoef!$B$4)*RemiseCoef!$B$6)))+(RemiseCoef!forfait)</f>
        <v>4181</v>
      </c>
      <c r="J44" s="10">
        <f>(4223*(((1-RemiseCoef!$B$4)*RemiseCoef!$B$6)))+(RemiseCoef!forfait)</f>
        <v>4223</v>
      </c>
      <c r="K44" s="10">
        <f>(4266*(((1-RemiseCoef!$B$4)*RemiseCoef!$B$6)))+(RemiseCoef!forfait)</f>
        <v>4266</v>
      </c>
      <c r="L44" s="10">
        <f>(4307*(((1-RemiseCoef!$B$4)*RemiseCoef!$B$6)))+(RemiseCoef!forfait)</f>
        <v>4307</v>
      </c>
      <c r="M44" s="9"/>
      <c r="N44" s="9"/>
      <c r="O44" s="9"/>
      <c r="P44" s="9"/>
      <c r="Q44" s="9"/>
      <c r="R44" s="9"/>
      <c r="S44" s="9"/>
      <c r="T44" s="9"/>
      <c r="U44" s="9"/>
      <c r="V44" s="9"/>
      <c r="W44" s="9"/>
      <c r="X44" s="9"/>
    </row>
    <row r="45" spans="1:24" ht="11.25" customHeight="1" x14ac:dyDescent="0.25">
      <c r="A45" s="76">
        <f t="shared" si="3"/>
        <v>2650</v>
      </c>
      <c r="B45" s="71">
        <f>(3838*(((1-RemiseCoef!$B$4)*RemiseCoef!$B$6)))+(RemiseCoef!forfait)</f>
        <v>3838</v>
      </c>
      <c r="C45" s="10">
        <f>(3948*(((1-RemiseCoef!$B$4)*RemiseCoef!$B$6)))+(RemiseCoef!forfait)</f>
        <v>3948</v>
      </c>
      <c r="D45" s="10">
        <f>(3991*(((1-RemiseCoef!$B$4)*RemiseCoef!$B$6)))+(RemiseCoef!forfait)</f>
        <v>3991</v>
      </c>
      <c r="E45" s="10">
        <f>(4036*(((1-RemiseCoef!$B$4)*RemiseCoef!$B$6)))+(RemiseCoef!forfait)</f>
        <v>4036</v>
      </c>
      <c r="F45" s="10">
        <f>(4078*(((1-RemiseCoef!$B$4)*RemiseCoef!$B$6)))+(RemiseCoef!forfait)</f>
        <v>4078</v>
      </c>
      <c r="G45" s="10">
        <f>(4122*(((1-RemiseCoef!$B$4)*RemiseCoef!$B$6)))+(RemiseCoef!forfait)</f>
        <v>4122</v>
      </c>
      <c r="H45" s="10">
        <f>(4166*(((1-RemiseCoef!$B$4)*RemiseCoef!$B$6)))+(RemiseCoef!forfait)</f>
        <v>4166</v>
      </c>
      <c r="I45" s="10">
        <f>(4228*(((1-RemiseCoef!$B$4)*RemiseCoef!$B$6)))+(RemiseCoef!forfait)</f>
        <v>4228</v>
      </c>
      <c r="J45" s="10">
        <f>(4273*(((1-RemiseCoef!$B$4)*RemiseCoef!$B$6)))+(RemiseCoef!forfait)</f>
        <v>4273</v>
      </c>
      <c r="K45" s="10">
        <f>(4315*(((1-RemiseCoef!$B$4)*RemiseCoef!$B$6)))+(RemiseCoef!forfait)</f>
        <v>4315</v>
      </c>
      <c r="L45" s="10">
        <f>(4359*(((1-RemiseCoef!$B$4)*RemiseCoef!$B$6)))+(RemiseCoef!forfait)</f>
        <v>4359</v>
      </c>
      <c r="M45" s="9"/>
      <c r="N45" s="9"/>
      <c r="O45" s="9"/>
      <c r="P45" s="9"/>
      <c r="Q45" s="9"/>
      <c r="R45" s="9"/>
      <c r="S45" s="9"/>
      <c r="T45" s="9"/>
      <c r="U45" s="9"/>
      <c r="V45" s="9"/>
      <c r="W45" s="9"/>
      <c r="X45" s="9"/>
    </row>
    <row r="46" spans="1:24" ht="11.25" customHeight="1" x14ac:dyDescent="0.25">
      <c r="A46" s="76">
        <f t="shared" si="3"/>
        <v>2750</v>
      </c>
      <c r="B46" s="71">
        <f>(3881*(((1-RemiseCoef!$B$4)*RemiseCoef!$B$6)))+(RemiseCoef!forfait)</f>
        <v>3881</v>
      </c>
      <c r="C46" s="10">
        <f>(3991*(((1-RemiseCoef!$B$4)*RemiseCoef!$B$6)))+(RemiseCoef!forfait)</f>
        <v>3991</v>
      </c>
      <c r="D46" s="10">
        <f>(4036*(((1-RemiseCoef!$B$4)*RemiseCoef!$B$6)))+(RemiseCoef!forfait)</f>
        <v>4036</v>
      </c>
      <c r="E46" s="10">
        <f>(4080*(((1-RemiseCoef!$B$4)*RemiseCoef!$B$6)))+(RemiseCoef!forfait)</f>
        <v>4080</v>
      </c>
      <c r="F46" s="10">
        <f>(4124*(((1-RemiseCoef!$B$4)*RemiseCoef!$B$6)))+(RemiseCoef!forfait)</f>
        <v>4124</v>
      </c>
      <c r="G46" s="10">
        <f>(4169*(((1-RemiseCoef!$B$4)*RemiseCoef!$B$6)))+(RemiseCoef!forfait)</f>
        <v>4169</v>
      </c>
      <c r="H46" s="10">
        <f>(4212*(((1-RemiseCoef!$B$4)*RemiseCoef!$B$6)))+(RemiseCoef!forfait)</f>
        <v>4212</v>
      </c>
      <c r="I46" s="10">
        <f>(4276*(((1-RemiseCoef!$B$4)*RemiseCoef!$B$6)))+(RemiseCoef!forfait)</f>
        <v>4276</v>
      </c>
      <c r="J46" s="10">
        <f>(4321*(((1-RemiseCoef!$B$4)*RemiseCoef!$B$6)))+(RemiseCoef!forfait)</f>
        <v>4321</v>
      </c>
      <c r="K46" s="10">
        <f>(4477*(((1-RemiseCoef!$B$4)*RemiseCoef!$B$6)))+(RemiseCoef!forfait)</f>
        <v>4477</v>
      </c>
      <c r="L46" s="10">
        <f>(4520*(((1-RemiseCoef!$B$4)*RemiseCoef!$B$6)))+(RemiseCoef!forfait)</f>
        <v>4520</v>
      </c>
      <c r="M46" s="9"/>
      <c r="N46" s="9"/>
      <c r="O46" s="9"/>
      <c r="P46" s="9"/>
      <c r="Q46" s="9"/>
      <c r="R46" s="9"/>
      <c r="S46" s="9"/>
      <c r="T46" s="9"/>
      <c r="U46" s="9"/>
      <c r="V46" s="9"/>
      <c r="W46" s="9"/>
      <c r="X46" s="9"/>
    </row>
    <row r="47" spans="1:24" ht="11.25" customHeight="1" x14ac:dyDescent="0.25">
      <c r="A47" s="76">
        <f t="shared" si="3"/>
        <v>2850</v>
      </c>
      <c r="B47" s="71">
        <f>(3957*(((1-RemiseCoef!$B$4)*RemiseCoef!$B$6)))+(RemiseCoef!forfait)</f>
        <v>3957</v>
      </c>
      <c r="C47" s="10">
        <f>(4068*(((1-RemiseCoef!$B$4)*RemiseCoef!$B$6)))+(RemiseCoef!forfait)</f>
        <v>4068</v>
      </c>
      <c r="D47" s="10">
        <f>(4115*(((1-RemiseCoef!$B$4)*RemiseCoef!$B$6)))+(RemiseCoef!forfait)</f>
        <v>4115</v>
      </c>
      <c r="E47" s="10">
        <f>(4163*(((1-RemiseCoef!$B$4)*RemiseCoef!$B$6)))+(RemiseCoef!forfait)</f>
        <v>4163</v>
      </c>
      <c r="F47" s="10">
        <f>(942*(((1-RemiseCoef!$B$4)*RemiseCoef!$B$6)))+(RemiseCoef!forfait)</f>
        <v>942</v>
      </c>
      <c r="G47" s="10">
        <f>(4253*(((1-RemiseCoef!$B$4)*RemiseCoef!$B$6)))+(RemiseCoef!forfait)</f>
        <v>4253</v>
      </c>
      <c r="H47" s="10">
        <f>(968*(((1-RemiseCoef!$B$4)*RemiseCoef!$B$6)))+(RemiseCoef!forfait)</f>
        <v>968</v>
      </c>
      <c r="I47" s="10">
        <f>(4477*(((1-RemiseCoef!$B$4)*RemiseCoef!$B$6)))+(RemiseCoef!forfait)</f>
        <v>4477</v>
      </c>
      <c r="J47" s="10">
        <f>(4521*(((1-RemiseCoef!$B$4)*RemiseCoef!$B$6)))+(RemiseCoef!forfait)</f>
        <v>4521</v>
      </c>
      <c r="K47" s="10">
        <f>(4568*(((1-RemiseCoef!$B$4)*RemiseCoef!$B$6)))+(RemiseCoef!forfait)</f>
        <v>4568</v>
      </c>
      <c r="L47" s="10"/>
      <c r="M47" s="9"/>
      <c r="N47" s="9"/>
      <c r="O47" s="9"/>
      <c r="P47" s="9"/>
      <c r="Q47" s="9"/>
      <c r="R47" s="9"/>
      <c r="S47" s="9"/>
      <c r="T47" s="9"/>
      <c r="U47" s="9"/>
      <c r="V47" s="9"/>
      <c r="W47" s="9"/>
      <c r="X47" s="9"/>
    </row>
    <row r="48" spans="1:24" ht="11.25" customHeight="1" x14ac:dyDescent="0.25">
      <c r="A48" s="76">
        <f t="shared" si="3"/>
        <v>2950</v>
      </c>
      <c r="B48" s="71">
        <f>(4000*(((1-RemiseCoef!$B$4)*RemiseCoef!$B$6)))+(RemiseCoef!forfait)</f>
        <v>4000</v>
      </c>
      <c r="C48" s="10">
        <f>(4113*(((1-RemiseCoef!$B$4)*RemiseCoef!$B$6)))+(RemiseCoef!forfait)</f>
        <v>4113</v>
      </c>
      <c r="D48" s="10">
        <f>(4158*(((1-RemiseCoef!$B$4)*RemiseCoef!$B$6)))+(RemiseCoef!forfait)</f>
        <v>4158</v>
      </c>
      <c r="E48" s="10">
        <f>(4206*(((1-RemiseCoef!$B$4)*RemiseCoef!$B$6)))+(RemiseCoef!forfait)</f>
        <v>4206</v>
      </c>
      <c r="F48" s="10">
        <f>(4253*(((1-RemiseCoef!$B$4)*RemiseCoef!$B$6)))+(RemiseCoef!forfait)</f>
        <v>4253</v>
      </c>
      <c r="G48" s="10">
        <f>(4301*(((1-RemiseCoef!$B$4)*RemiseCoef!$B$6)))+(RemiseCoef!forfait)</f>
        <v>4301</v>
      </c>
      <c r="H48" s="10">
        <f>(4459*(((1-RemiseCoef!$B$4)*RemiseCoef!$B$6)))+(RemiseCoef!forfait)</f>
        <v>4459</v>
      </c>
      <c r="I48" s="10">
        <f>(4523*(((1-RemiseCoef!$B$4)*RemiseCoef!$B$6)))+(RemiseCoef!forfait)</f>
        <v>4523</v>
      </c>
      <c r="J48" s="10">
        <f>(4572*(((1-RemiseCoef!$B$4)*RemiseCoef!$B$6)))+(RemiseCoef!forfait)</f>
        <v>4572</v>
      </c>
      <c r="K48" s="10"/>
      <c r="L48" s="10"/>
      <c r="M48" s="9"/>
      <c r="N48" s="9"/>
      <c r="O48" s="9"/>
      <c r="P48" s="9"/>
      <c r="Q48" s="9"/>
      <c r="R48" s="9"/>
      <c r="S48" s="9"/>
      <c r="T48" s="9"/>
      <c r="U48" s="9"/>
      <c r="V48" s="9"/>
      <c r="W48" s="9"/>
      <c r="X48" s="9"/>
    </row>
    <row r="49" spans="1:24" ht="11.25" customHeight="1" x14ac:dyDescent="0.25">
      <c r="A49" s="76">
        <f t="shared" si="3"/>
        <v>3050</v>
      </c>
      <c r="B49" s="71">
        <f>(4042*(((1-RemiseCoef!$B$4)*RemiseCoef!$B$6)))+(RemiseCoef!forfait)</f>
        <v>4042</v>
      </c>
      <c r="C49" s="10">
        <f>(4155*(((1-RemiseCoef!$B$4)*RemiseCoef!$B$6)))+(RemiseCoef!forfait)</f>
        <v>4155</v>
      </c>
      <c r="D49" s="10">
        <f>(4203*(((1-RemiseCoef!$B$4)*RemiseCoef!$B$6)))+(RemiseCoef!forfait)</f>
        <v>4203</v>
      </c>
      <c r="E49" s="10">
        <f>(4251*(((1-RemiseCoef!$B$4)*RemiseCoef!$B$6)))+(RemiseCoef!forfait)</f>
        <v>4251</v>
      </c>
      <c r="F49" s="10">
        <f>(4409*(((1-RemiseCoef!$B$4)*RemiseCoef!$B$6)))+(RemiseCoef!forfait)</f>
        <v>4409</v>
      </c>
      <c r="G49" s="10">
        <f>(4459*(((1-RemiseCoef!$B$4)*RemiseCoef!$B$6)))+(RemiseCoef!forfait)</f>
        <v>4459</v>
      </c>
      <c r="H49" s="10">
        <f>(4506*(((1-RemiseCoef!$B$4)*RemiseCoef!$B$6)))+(RemiseCoef!forfait)</f>
        <v>4506</v>
      </c>
      <c r="I49" s="10"/>
      <c r="J49" s="10"/>
      <c r="K49" s="10"/>
      <c r="L49" s="10"/>
      <c r="M49" s="9"/>
      <c r="N49" s="9"/>
      <c r="O49" s="9"/>
      <c r="P49" s="9"/>
      <c r="Q49" s="9"/>
      <c r="R49" s="9"/>
      <c r="S49" s="9"/>
      <c r="T49" s="9"/>
      <c r="U49" s="9"/>
      <c r="V49" s="9"/>
      <c r="W49" s="9"/>
      <c r="X49" s="9"/>
    </row>
    <row r="50" spans="1:24" ht="11.25" customHeight="1" x14ac:dyDescent="0.25">
      <c r="A50" s="76">
        <f t="shared" si="3"/>
        <v>3150</v>
      </c>
      <c r="B50" s="71">
        <f>(4084*(((1-RemiseCoef!$B$4)*RemiseCoef!$B$6)))+(RemiseCoef!forfait)</f>
        <v>4084</v>
      </c>
      <c r="C50" s="10">
        <f>(4200*(((1-RemiseCoef!$B$4)*RemiseCoef!$B$6)))+(RemiseCoef!forfait)</f>
        <v>4200</v>
      </c>
      <c r="D50" s="10">
        <f>(4247*(((1-RemiseCoef!$B$4)*RemiseCoef!$B$6)))+(RemiseCoef!forfait)</f>
        <v>4247</v>
      </c>
      <c r="E50" s="10">
        <f>(4407*(((1-RemiseCoef!$B$4)*RemiseCoef!$B$6)))+(RemiseCoef!forfait)</f>
        <v>4407</v>
      </c>
      <c r="F50" s="10">
        <f>(4455*(((1-RemiseCoef!$B$4)*RemiseCoef!$B$6)))+(RemiseCoef!forfait)</f>
        <v>4455</v>
      </c>
      <c r="G50" s="10">
        <f>(4505*(((1-RemiseCoef!$B$4)*RemiseCoef!$B$6)))+(RemiseCoef!forfait)</f>
        <v>4505</v>
      </c>
      <c r="H50" s="10"/>
      <c r="I50" s="10"/>
      <c r="J50" s="10"/>
      <c r="K50" s="10"/>
      <c r="L50" s="10"/>
      <c r="M50" s="9"/>
      <c r="N50" s="9"/>
      <c r="O50" s="9"/>
      <c r="P50" s="9"/>
      <c r="Q50" s="9"/>
      <c r="R50" s="9"/>
      <c r="S50" s="9"/>
      <c r="T50" s="9"/>
      <c r="U50" s="9"/>
      <c r="V50" s="9"/>
      <c r="W50" s="9"/>
      <c r="X50" s="9"/>
    </row>
    <row r="51" spans="1:24" ht="11.25" customHeight="1" x14ac:dyDescent="0.25">
      <c r="A51" s="76">
        <f t="shared" si="3"/>
        <v>3250</v>
      </c>
      <c r="B51" s="71">
        <f>(4160*(((1-RemiseCoef!$B$4)*RemiseCoef!$B$6)))+(RemiseCoef!forfait)</f>
        <v>4160</v>
      </c>
      <c r="C51" s="10">
        <f>(4278*(((1-RemiseCoef!$B$4)*RemiseCoef!$B$6)))+(RemiseCoef!forfait)</f>
        <v>4278</v>
      </c>
      <c r="D51" s="10">
        <f>(4439*(((1-RemiseCoef!$B$4)*RemiseCoef!$B$6)))+(RemiseCoef!forfait)</f>
        <v>4439</v>
      </c>
      <c r="E51" s="10">
        <f>(4489*(((1-RemiseCoef!$B$4)*RemiseCoef!$B$6)))+(RemiseCoef!forfait)</f>
        <v>4489</v>
      </c>
      <c r="F51" s="10"/>
      <c r="G51" s="10"/>
      <c r="H51" s="10"/>
      <c r="I51" s="10"/>
      <c r="J51" s="10"/>
      <c r="K51" s="10"/>
      <c r="L51" s="10"/>
      <c r="M51" s="9"/>
      <c r="N51" s="9"/>
      <c r="O51" s="9"/>
      <c r="P51" s="9"/>
      <c r="Q51" s="9"/>
      <c r="R51" s="9"/>
      <c r="S51" s="9"/>
      <c r="T51" s="9"/>
      <c r="U51" s="9"/>
      <c r="V51" s="9"/>
      <c r="W51" s="9"/>
      <c r="X51" s="9"/>
    </row>
    <row r="52" spans="1:24" ht="11.25" customHeight="1" x14ac:dyDescent="0.25">
      <c r="A52" s="76">
        <f t="shared" si="3"/>
        <v>3350</v>
      </c>
      <c r="B52" s="71">
        <f>(4314*(((1-RemiseCoef!$B$4)*RemiseCoef!$B$6)))+(RemiseCoef!forfait)</f>
        <v>4314</v>
      </c>
      <c r="C52" s="10">
        <f>(4432*(((1-RemiseCoef!$B$4)*RemiseCoef!$B$6)))+(RemiseCoef!forfait)</f>
        <v>4432</v>
      </c>
      <c r="D52" s="10">
        <f>(4483*(((1-RemiseCoef!$B$4)*RemiseCoef!$B$6)))+(RemiseCoef!forfait)</f>
        <v>4483</v>
      </c>
      <c r="E52" s="10"/>
      <c r="F52" s="10"/>
      <c r="G52" s="10"/>
      <c r="H52" s="10"/>
      <c r="I52" s="10"/>
      <c r="J52" s="10"/>
      <c r="K52" s="10"/>
      <c r="L52" s="10"/>
      <c r="M52" s="9"/>
      <c r="N52" s="9"/>
      <c r="O52" s="9"/>
      <c r="P52" s="9"/>
      <c r="Q52" s="9"/>
      <c r="R52" s="9"/>
      <c r="S52" s="9"/>
      <c r="T52" s="9"/>
      <c r="U52" s="9"/>
      <c r="V52" s="9"/>
      <c r="W52" s="9"/>
      <c r="X52" s="9"/>
    </row>
    <row r="53" spans="1:24" ht="11.25" customHeight="1" x14ac:dyDescent="0.25">
      <c r="A53" s="19">
        <f t="shared" si="3"/>
        <v>3450</v>
      </c>
      <c r="B53" s="17">
        <f>(4357*(((1-RemiseCoef!$B$4)*RemiseCoef!$B$6)))+(RemiseCoef!forfait)</f>
        <v>4357</v>
      </c>
      <c r="C53" s="15">
        <f>(4476*(((1-RemiseCoef!$B$4)*RemiseCoef!$B$6)))+(RemiseCoef!forfait)</f>
        <v>4476</v>
      </c>
      <c r="D53" s="15"/>
      <c r="E53" s="15"/>
      <c r="F53" s="15"/>
      <c r="G53" s="15"/>
      <c r="H53" s="15"/>
      <c r="I53" s="15"/>
      <c r="J53" s="15"/>
      <c r="K53" s="15"/>
      <c r="L53" s="15"/>
    </row>
    <row r="54" spans="1:24" ht="11.25" customHeight="1" x14ac:dyDescent="0.25">
      <c r="B54" s="20" t="s">
        <v>95</v>
      </c>
    </row>
    <row r="55" spans="1:24" ht="11.25" customHeight="1" x14ac:dyDescent="0.25">
      <c r="A55" s="120" t="s">
        <v>22</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row>
    <row r="56" spans="1:24" ht="7.5" customHeight="1" x14ac:dyDescent="0.25">
      <c r="A56" s="109" t="s">
        <v>77</v>
      </c>
      <c r="B56" s="110"/>
      <c r="C56" s="110"/>
      <c r="D56" s="110"/>
      <c r="E56" s="110"/>
      <c r="F56" s="110"/>
      <c r="G56" s="110"/>
      <c r="H56" s="110"/>
      <c r="I56" s="110"/>
      <c r="J56" s="110"/>
      <c r="K56" s="110"/>
      <c r="L56" s="110"/>
      <c r="M56" s="110"/>
      <c r="N56" s="110"/>
      <c r="O56" s="110"/>
      <c r="P56" s="110"/>
      <c r="Q56" s="110"/>
      <c r="R56" s="110"/>
      <c r="S56" s="110"/>
      <c r="T56" s="110"/>
      <c r="U56" s="110"/>
      <c r="V56" s="110"/>
      <c r="W56" s="110"/>
      <c r="X56" s="111"/>
    </row>
    <row r="57" spans="1:24" ht="7.5" customHeight="1" x14ac:dyDescent="0.25">
      <c r="A57" s="112"/>
      <c r="B57" s="113"/>
      <c r="C57" s="113"/>
      <c r="D57" s="113"/>
      <c r="E57" s="113"/>
      <c r="F57" s="113"/>
      <c r="G57" s="113"/>
      <c r="H57" s="113"/>
      <c r="I57" s="113"/>
      <c r="J57" s="113"/>
      <c r="K57" s="113"/>
      <c r="L57" s="113"/>
      <c r="M57" s="113"/>
      <c r="N57" s="113"/>
      <c r="O57" s="113"/>
      <c r="P57" s="113"/>
      <c r="Q57" s="113"/>
      <c r="R57" s="113"/>
      <c r="S57" s="113"/>
      <c r="T57" s="113"/>
      <c r="U57" s="113"/>
      <c r="V57" s="113"/>
      <c r="W57" s="113"/>
      <c r="X57" s="114"/>
    </row>
    <row r="58" spans="1:24" ht="10.5" customHeight="1" x14ac:dyDescent="0.25">
      <c r="A58" s="115" t="s">
        <v>92</v>
      </c>
      <c r="B58" s="116"/>
      <c r="C58" s="116"/>
      <c r="D58" s="116"/>
      <c r="E58" s="116"/>
      <c r="F58" s="116"/>
      <c r="G58" s="116"/>
      <c r="H58" s="116"/>
      <c r="I58" s="116"/>
      <c r="J58" s="116"/>
      <c r="K58" s="116"/>
      <c r="L58" s="116"/>
      <c r="M58" s="116"/>
      <c r="N58" s="116"/>
      <c r="O58" s="116"/>
      <c r="P58" s="116"/>
      <c r="Q58" s="116"/>
      <c r="R58" s="116"/>
      <c r="S58" s="116"/>
      <c r="T58" s="116"/>
      <c r="U58" s="116"/>
      <c r="V58" s="116"/>
      <c r="W58" s="116"/>
      <c r="X58" s="117"/>
    </row>
    <row r="59" spans="1:24" ht="11.25" customHeight="1" x14ac:dyDescent="0.25">
      <c r="A59" s="122" t="s">
        <v>23</v>
      </c>
      <c r="B59" s="123"/>
      <c r="C59" s="123"/>
      <c r="D59" s="123"/>
      <c r="E59" s="123"/>
      <c r="F59" s="124"/>
      <c r="G59" s="122" t="s">
        <v>9</v>
      </c>
      <c r="H59" s="123"/>
      <c r="I59" s="123"/>
      <c r="J59" s="123"/>
      <c r="K59" s="123"/>
      <c r="L59" s="123"/>
      <c r="M59" s="124"/>
      <c r="N59" s="122" t="s">
        <v>26</v>
      </c>
      <c r="O59" s="123"/>
      <c r="P59" s="123"/>
      <c r="Q59" s="123"/>
      <c r="R59" s="124"/>
      <c r="S59" s="122" t="s">
        <v>28</v>
      </c>
      <c r="T59" s="123"/>
      <c r="U59" s="123"/>
      <c r="V59" s="123"/>
      <c r="W59" s="123"/>
      <c r="X59" s="124"/>
    </row>
    <row r="60" spans="1:24" ht="9" customHeight="1" x14ac:dyDescent="0.25">
      <c r="A60" s="97" t="s">
        <v>24</v>
      </c>
      <c r="B60" s="98"/>
      <c r="C60" s="98"/>
      <c r="D60" s="98"/>
      <c r="E60" s="98"/>
      <c r="F60" s="99"/>
      <c r="G60" s="97" t="s">
        <v>25</v>
      </c>
      <c r="H60" s="98"/>
      <c r="I60" s="98"/>
      <c r="J60" s="98"/>
      <c r="K60" s="98"/>
      <c r="L60" s="98"/>
      <c r="M60" s="99"/>
      <c r="N60" s="97" t="s">
        <v>27</v>
      </c>
      <c r="O60" s="98"/>
      <c r="P60" s="98"/>
      <c r="Q60" s="98"/>
      <c r="R60" s="99"/>
      <c r="S60" s="97" t="s">
        <v>29</v>
      </c>
      <c r="T60" s="98"/>
      <c r="U60" s="98"/>
      <c r="V60" s="98"/>
      <c r="W60" s="98"/>
      <c r="X60" s="99"/>
    </row>
    <row r="61" spans="1:24" ht="9" customHeight="1" x14ac:dyDescent="0.25">
      <c r="A61" s="97"/>
      <c r="B61" s="98"/>
      <c r="C61" s="98"/>
      <c r="D61" s="98"/>
      <c r="E61" s="98"/>
      <c r="F61" s="99"/>
      <c r="G61" s="97"/>
      <c r="H61" s="98"/>
      <c r="I61" s="98"/>
      <c r="J61" s="98"/>
      <c r="K61" s="98"/>
      <c r="L61" s="98"/>
      <c r="M61" s="99"/>
      <c r="N61" s="97"/>
      <c r="O61" s="98"/>
      <c r="P61" s="98"/>
      <c r="Q61" s="98"/>
      <c r="R61" s="99"/>
      <c r="S61" s="97"/>
      <c r="T61" s="98"/>
      <c r="U61" s="98"/>
      <c r="V61" s="98"/>
      <c r="W61" s="98"/>
      <c r="X61" s="99"/>
    </row>
    <row r="62" spans="1:24" ht="9" customHeight="1" x14ac:dyDescent="0.25">
      <c r="A62" s="100"/>
      <c r="B62" s="101"/>
      <c r="C62" s="101"/>
      <c r="D62" s="101"/>
      <c r="E62" s="101"/>
      <c r="F62" s="102"/>
      <c r="G62" s="100"/>
      <c r="H62" s="101"/>
      <c r="I62" s="101"/>
      <c r="J62" s="101"/>
      <c r="K62" s="101"/>
      <c r="L62" s="101"/>
      <c r="M62" s="102"/>
      <c r="N62" s="100"/>
      <c r="O62" s="101"/>
      <c r="P62" s="101"/>
      <c r="Q62" s="101"/>
      <c r="R62" s="102"/>
      <c r="S62" s="100"/>
      <c r="T62" s="101"/>
      <c r="U62" s="101"/>
      <c r="V62" s="101"/>
      <c r="W62" s="101"/>
      <c r="X62" s="102"/>
    </row>
    <row r="63" spans="1:24" ht="3.75" customHeight="1" x14ac:dyDescent="0.25">
      <c r="A63" s="16"/>
      <c r="X63" s="21"/>
    </row>
    <row r="64" spans="1:24" ht="7.5" customHeight="1" x14ac:dyDescent="0.25">
      <c r="A64" s="103" t="s">
        <v>32</v>
      </c>
      <c r="B64" s="104"/>
      <c r="C64" s="104"/>
      <c r="D64" s="104"/>
      <c r="E64" s="104"/>
      <c r="F64" s="104"/>
      <c r="G64" s="104"/>
      <c r="H64" s="104"/>
      <c r="I64" s="104"/>
      <c r="J64" s="104"/>
      <c r="K64" s="104"/>
      <c r="L64" s="104"/>
      <c r="M64" s="104"/>
      <c r="N64" s="104"/>
      <c r="O64" s="104"/>
      <c r="P64" s="104"/>
      <c r="Q64" s="104"/>
      <c r="R64" s="104"/>
      <c r="S64" s="104"/>
      <c r="T64" s="104"/>
      <c r="U64" s="104"/>
      <c r="V64" s="104"/>
      <c r="W64" s="104"/>
      <c r="X64" s="105"/>
    </row>
    <row r="65" spans="1:24" ht="7.5" customHeight="1" x14ac:dyDescent="0.25">
      <c r="A65" s="106"/>
      <c r="B65" s="107"/>
      <c r="C65" s="107"/>
      <c r="D65" s="107"/>
      <c r="E65" s="107"/>
      <c r="F65" s="107"/>
      <c r="G65" s="107"/>
      <c r="H65" s="107"/>
      <c r="I65" s="107"/>
      <c r="J65" s="107"/>
      <c r="K65" s="107"/>
      <c r="L65" s="107"/>
      <c r="M65" s="107"/>
      <c r="N65" s="107"/>
      <c r="O65" s="107"/>
      <c r="P65" s="107"/>
      <c r="Q65" s="107"/>
      <c r="R65" s="107"/>
      <c r="S65" s="107"/>
      <c r="T65" s="107"/>
      <c r="U65" s="107"/>
      <c r="V65" s="107"/>
      <c r="W65" s="107"/>
      <c r="X65" s="108"/>
    </row>
    <row r="66" spans="1:24" ht="12" customHeight="1" x14ac:dyDescent="0.25">
      <c r="A66" s="121" t="s">
        <v>30</v>
      </c>
      <c r="B66" s="118"/>
      <c r="C66" s="118"/>
      <c r="D66" s="118"/>
      <c r="E66" s="118"/>
      <c r="F66" s="118"/>
      <c r="G66" s="118"/>
      <c r="H66" s="118"/>
      <c r="I66" s="118"/>
      <c r="J66" s="118"/>
      <c r="K66" s="118"/>
      <c r="L66" s="118"/>
      <c r="M66" s="119"/>
      <c r="N66" s="118" t="s">
        <v>91</v>
      </c>
      <c r="O66" s="118"/>
      <c r="P66" s="118"/>
      <c r="Q66" s="118"/>
      <c r="R66" s="118"/>
      <c r="S66" s="118"/>
      <c r="T66" s="118"/>
      <c r="U66" s="118"/>
      <c r="V66" s="118"/>
      <c r="W66" s="118"/>
      <c r="X66" s="119"/>
    </row>
    <row r="67" spans="1:24" ht="9" customHeight="1" x14ac:dyDescent="0.25">
      <c r="A67" s="127" t="s">
        <v>93</v>
      </c>
      <c r="B67" s="125"/>
      <c r="C67" s="125"/>
      <c r="D67" s="125"/>
      <c r="E67" s="125"/>
      <c r="F67" s="125"/>
      <c r="G67" s="125"/>
      <c r="H67" s="125"/>
      <c r="I67" s="125"/>
      <c r="J67" s="125"/>
      <c r="K67" s="125"/>
      <c r="L67" s="125"/>
      <c r="M67" s="126"/>
      <c r="N67" s="125" t="s">
        <v>31</v>
      </c>
      <c r="O67" s="125"/>
      <c r="P67" s="125"/>
      <c r="Q67" s="125"/>
      <c r="R67" s="125"/>
      <c r="S67" s="125"/>
      <c r="T67" s="125"/>
      <c r="U67" s="125"/>
      <c r="V67" s="125"/>
      <c r="W67" s="125"/>
      <c r="X67" s="126"/>
    </row>
    <row r="68" spans="1:24" ht="9" customHeight="1" x14ac:dyDescent="0.25">
      <c r="A68" s="127"/>
      <c r="B68" s="125"/>
      <c r="C68" s="125"/>
      <c r="D68" s="125"/>
      <c r="E68" s="125"/>
      <c r="F68" s="125"/>
      <c r="G68" s="125"/>
      <c r="H68" s="125"/>
      <c r="I68" s="125"/>
      <c r="J68" s="125"/>
      <c r="K68" s="125"/>
      <c r="L68" s="125"/>
      <c r="M68" s="126"/>
      <c r="N68" s="125"/>
      <c r="O68" s="125"/>
      <c r="P68" s="125"/>
      <c r="Q68" s="125"/>
      <c r="R68" s="125"/>
      <c r="S68" s="125"/>
      <c r="T68" s="125"/>
      <c r="U68" s="125"/>
      <c r="V68" s="125"/>
      <c r="W68" s="125"/>
      <c r="X68" s="126"/>
    </row>
    <row r="69" spans="1:24" ht="9" customHeight="1" x14ac:dyDescent="0.25">
      <c r="A69" s="128"/>
      <c r="B69" s="129"/>
      <c r="C69" s="129"/>
      <c r="D69" s="129"/>
      <c r="E69" s="129"/>
      <c r="F69" s="129"/>
      <c r="G69" s="129"/>
      <c r="H69" s="129"/>
      <c r="I69" s="129"/>
      <c r="J69" s="129"/>
      <c r="K69" s="129"/>
      <c r="L69" s="129"/>
      <c r="M69" s="130"/>
      <c r="N69" s="125"/>
      <c r="O69" s="125"/>
      <c r="P69" s="125"/>
      <c r="Q69" s="125"/>
      <c r="R69" s="125"/>
      <c r="S69" s="125"/>
      <c r="T69" s="125"/>
      <c r="U69" s="125"/>
      <c r="V69" s="125"/>
      <c r="W69" s="125"/>
      <c r="X69" s="126"/>
    </row>
    <row r="70" spans="1:24" ht="11.25" customHeight="1" x14ac:dyDescent="0.25">
      <c r="A70" s="122" t="s">
        <v>23</v>
      </c>
      <c r="B70" s="123"/>
      <c r="C70" s="123"/>
      <c r="D70" s="123"/>
      <c r="E70" s="123"/>
      <c r="F70" s="124"/>
      <c r="G70" s="122" t="s">
        <v>9</v>
      </c>
      <c r="H70" s="123"/>
      <c r="I70" s="123"/>
      <c r="J70" s="123"/>
      <c r="K70" s="123"/>
      <c r="L70" s="123"/>
      <c r="M70" s="124"/>
      <c r="N70" s="122" t="s">
        <v>23</v>
      </c>
      <c r="O70" s="123"/>
      <c r="P70" s="123"/>
      <c r="Q70" s="123"/>
      <c r="R70" s="123"/>
      <c r="S70" s="123"/>
      <c r="T70" s="123"/>
      <c r="U70" s="123"/>
      <c r="V70" s="123"/>
      <c r="W70" s="123"/>
      <c r="X70" s="124"/>
    </row>
    <row r="71" spans="1:24" ht="9" customHeight="1" x14ac:dyDescent="0.25">
      <c r="A71" s="97" t="s">
        <v>24</v>
      </c>
      <c r="B71" s="98"/>
      <c r="C71" s="98"/>
      <c r="D71" s="98"/>
      <c r="E71" s="98"/>
      <c r="F71" s="99"/>
      <c r="G71" s="97" t="s">
        <v>25</v>
      </c>
      <c r="H71" s="98"/>
      <c r="I71" s="98"/>
      <c r="J71" s="98"/>
      <c r="K71" s="98"/>
      <c r="L71" s="98"/>
      <c r="M71" s="99"/>
      <c r="N71" s="97" t="s">
        <v>24</v>
      </c>
      <c r="O71" s="98"/>
      <c r="P71" s="98"/>
      <c r="Q71" s="98"/>
      <c r="R71" s="98"/>
      <c r="S71" s="98"/>
      <c r="T71" s="98"/>
      <c r="U71" s="98"/>
      <c r="V71" s="98"/>
      <c r="W71" s="98"/>
      <c r="X71" s="99"/>
    </row>
    <row r="72" spans="1:24" ht="9" customHeight="1" x14ac:dyDescent="0.25">
      <c r="A72" s="97"/>
      <c r="B72" s="98"/>
      <c r="C72" s="98"/>
      <c r="D72" s="98"/>
      <c r="E72" s="98"/>
      <c r="F72" s="99"/>
      <c r="G72" s="97"/>
      <c r="H72" s="98"/>
      <c r="I72" s="98"/>
      <c r="J72" s="98"/>
      <c r="K72" s="98"/>
      <c r="L72" s="98"/>
      <c r="M72" s="99"/>
      <c r="N72" s="97"/>
      <c r="O72" s="98"/>
      <c r="P72" s="98"/>
      <c r="Q72" s="98"/>
      <c r="R72" s="98"/>
      <c r="S72" s="98"/>
      <c r="T72" s="98"/>
      <c r="U72" s="98"/>
      <c r="V72" s="98"/>
      <c r="W72" s="98"/>
      <c r="X72" s="99"/>
    </row>
    <row r="73" spans="1:24" ht="9" customHeight="1" x14ac:dyDescent="0.25">
      <c r="A73" s="100"/>
      <c r="B73" s="101"/>
      <c r="C73" s="101"/>
      <c r="D73" s="101"/>
      <c r="E73" s="101"/>
      <c r="F73" s="102"/>
      <c r="G73" s="100"/>
      <c r="H73" s="101"/>
      <c r="I73" s="101"/>
      <c r="J73" s="101"/>
      <c r="K73" s="101"/>
      <c r="L73" s="101"/>
      <c r="M73" s="102"/>
      <c r="N73" s="100"/>
      <c r="O73" s="101"/>
      <c r="P73" s="101"/>
      <c r="Q73" s="101"/>
      <c r="R73" s="101"/>
      <c r="S73" s="101"/>
      <c r="T73" s="101"/>
      <c r="U73" s="101"/>
      <c r="V73" s="101"/>
      <c r="W73" s="101"/>
      <c r="X73" s="102"/>
    </row>
    <row r="74" spans="1:24" ht="12.75" customHeight="1" x14ac:dyDescent="0.25"/>
    <row r="75" spans="1:24" ht="12.75" customHeight="1" x14ac:dyDescent="0.25"/>
    <row r="76" spans="1:24" ht="12.75" customHeight="1" x14ac:dyDescent="0.25"/>
    <row r="77" spans="1:24" ht="12.75" customHeight="1" x14ac:dyDescent="0.25"/>
    <row r="78" spans="1:24" ht="12.75" customHeight="1" x14ac:dyDescent="0.25"/>
    <row r="79" spans="1:24" ht="12.75" customHeight="1" x14ac:dyDescent="0.25"/>
    <row r="80" spans="1:24" ht="12.75" customHeight="1" x14ac:dyDescent="0.25"/>
    <row r="81" spans="1:24" ht="12.75" customHeight="1" x14ac:dyDescent="0.25"/>
    <row r="82" spans="1:24" ht="11.25" customHeight="1" x14ac:dyDescent="0.25"/>
    <row r="83" spans="1:24" ht="11.25" customHeight="1" x14ac:dyDescent="0.25"/>
    <row r="84" spans="1:24" ht="11.25" customHeight="1" x14ac:dyDescent="0.25"/>
    <row r="85" spans="1:24" ht="11.25" customHeight="1" x14ac:dyDescent="0.25"/>
    <row r="86" spans="1:24" ht="11.25" customHeight="1" x14ac:dyDescent="0.25"/>
    <row r="87" spans="1:24" ht="11.25" customHeight="1" x14ac:dyDescent="0.25"/>
    <row r="88" spans="1:24" ht="11.25" customHeight="1" x14ac:dyDescent="0.25"/>
    <row r="89" spans="1:24" ht="12.75" customHeight="1" x14ac:dyDescent="0.25"/>
    <row r="90" spans="1:24" ht="6" customHeight="1" x14ac:dyDescent="0.25"/>
    <row r="91" spans="1:24" s="22" customFormat="1" ht="12.75" customHeight="1" x14ac:dyDescent="0.25">
      <c r="A91" s="7"/>
      <c r="B91" s="7"/>
      <c r="M91" s="7"/>
      <c r="N91" s="7"/>
      <c r="O91" s="7"/>
      <c r="P91" s="7"/>
      <c r="Q91" s="7"/>
      <c r="R91" s="7"/>
      <c r="S91" s="7"/>
      <c r="T91" s="7"/>
      <c r="U91" s="7"/>
      <c r="V91" s="7"/>
      <c r="W91" s="7"/>
      <c r="X91" s="7"/>
    </row>
    <row r="92" spans="1:24" ht="12.75" customHeight="1" x14ac:dyDescent="0.25"/>
    <row r="93" spans="1:24" ht="12.75" customHeight="1" x14ac:dyDescent="0.25"/>
    <row r="94" spans="1:24" ht="12.75" customHeight="1" x14ac:dyDescent="0.25"/>
    <row r="95" spans="1:24" ht="12.75" customHeight="1" x14ac:dyDescent="0.25"/>
    <row r="96" spans="1:24" ht="12.75" customHeight="1" x14ac:dyDescent="0.25"/>
    <row r="97" s="7" customFormat="1" ht="12.75" customHeight="1" x14ac:dyDescent="0.25"/>
    <row r="98" s="7" customFormat="1" ht="12.75" customHeight="1" x14ac:dyDescent="0.25"/>
    <row r="99" s="7" customFormat="1" ht="12.75" customHeight="1" x14ac:dyDescent="0.25"/>
    <row r="100" s="7" customFormat="1" ht="12.75" customHeight="1" x14ac:dyDescent="0.25"/>
    <row r="101" s="7" customFormat="1" ht="12.75" customHeight="1" x14ac:dyDescent="0.25"/>
    <row r="102" s="7" customFormat="1" ht="12.75" customHeight="1" x14ac:dyDescent="0.25"/>
    <row r="103" s="7" customFormat="1" ht="12.75" customHeight="1" x14ac:dyDescent="0.25"/>
  </sheetData>
  <sheetProtection algorithmName="SHA-512" hashValue="2e0hE/96A4m7rOoc1nko+AEyp5mUDu93N445mjofn5SnHDTgab5dWl8/a8hKlKZZccozeFcIJkGOM3HbCeRKpg==" saltValue="mZm357Enn2viI6tMNr+XJw==" spinCount="100000" sheet="1" objects="1" scenarios="1" selectLockedCells="1" selectUnlockedCells="1"/>
  <mergeCells count="23">
    <mergeCell ref="N66:X66"/>
    <mergeCell ref="A55:X55"/>
    <mergeCell ref="A66:M66"/>
    <mergeCell ref="N70:X70"/>
    <mergeCell ref="N71:X73"/>
    <mergeCell ref="A59:F59"/>
    <mergeCell ref="G59:M59"/>
    <mergeCell ref="N59:R59"/>
    <mergeCell ref="S59:X59"/>
    <mergeCell ref="A70:F70"/>
    <mergeCell ref="G70:M70"/>
    <mergeCell ref="N67:X69"/>
    <mergeCell ref="A71:F73"/>
    <mergeCell ref="G71:M73"/>
    <mergeCell ref="A67:M69"/>
    <mergeCell ref="N60:R62"/>
    <mergeCell ref="A11:V12"/>
    <mergeCell ref="G60:M62"/>
    <mergeCell ref="A60:F62"/>
    <mergeCell ref="S60:X62"/>
    <mergeCell ref="A64:X65"/>
    <mergeCell ref="A56:X57"/>
    <mergeCell ref="A58:X58"/>
  </mergeCells>
  <conditionalFormatting sqref="B37:L53 B17:W34">
    <cfRule type="expression" dxfId="5" priority="2">
      <formula>MOD(ROW(),2)=0</formula>
    </cfRule>
  </conditionalFormatting>
  <conditionalFormatting sqref="B37:L53">
    <cfRule type="cellIs" dxfId="4" priority="1" operator="equal">
      <formula>""</formula>
    </cfRule>
  </conditionalFormatting>
  <pageMargins left="0" right="0" top="0.39370078740157483" bottom="0.3937007874015748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0FEF-E9BD-4159-A05F-595C156BB412}">
  <sheetPr codeName="Feuil4"/>
  <dimension ref="A1:X58"/>
  <sheetViews>
    <sheetView view="pageBreakPreview" topLeftCell="A7" zoomScaleNormal="100" zoomScaleSheetLayoutView="100" workbookViewId="0">
      <selection activeCell="P52" sqref="P52"/>
    </sheetView>
  </sheetViews>
  <sheetFormatPr baseColWidth="10" defaultRowHeight="15" x14ac:dyDescent="0.25"/>
  <cols>
    <col min="1" max="1" width="5.140625" style="7" customWidth="1"/>
    <col min="2" max="22" width="4.42578125" style="7" customWidth="1"/>
    <col min="23" max="30" width="4.28515625" style="7" customWidth="1"/>
    <col min="31" max="31" width="12.7109375" style="7" customWidth="1"/>
    <col min="32" max="44" width="4.28515625" style="7" customWidth="1"/>
    <col min="45" max="16384" width="11.42578125" style="7"/>
  </cols>
  <sheetData>
    <row r="1" spans="1:24" ht="19.5" customHeight="1" x14ac:dyDescent="0.35">
      <c r="A1" s="46" t="s">
        <v>121</v>
      </c>
      <c r="B1" s="47"/>
      <c r="C1" s="47"/>
      <c r="D1" s="47"/>
      <c r="E1" s="47"/>
      <c r="F1" s="47"/>
      <c r="G1" s="47"/>
      <c r="H1" s="47"/>
      <c r="I1" s="47"/>
      <c r="J1" s="47"/>
      <c r="K1" s="47"/>
      <c r="L1" s="47"/>
      <c r="M1" s="47"/>
      <c r="N1" s="47"/>
      <c r="O1" s="47"/>
      <c r="P1" s="47"/>
      <c r="Q1" s="47"/>
      <c r="R1" s="47"/>
      <c r="S1" s="47"/>
      <c r="T1" s="47"/>
      <c r="U1" s="48" t="s">
        <v>19</v>
      </c>
      <c r="V1" s="9"/>
      <c r="W1" s="9"/>
      <c r="X1" s="9"/>
    </row>
    <row r="2" spans="1:24" ht="5.25" customHeight="1" x14ac:dyDescent="0.25">
      <c r="A2" s="152"/>
      <c r="B2" s="152"/>
      <c r="C2" s="152"/>
      <c r="D2" s="152"/>
      <c r="E2" s="152"/>
      <c r="F2" s="152"/>
      <c r="G2" s="152"/>
      <c r="H2" s="152"/>
      <c r="I2" s="152"/>
      <c r="J2" s="152"/>
      <c r="K2" s="152"/>
      <c r="L2" s="152"/>
      <c r="M2" s="152"/>
      <c r="N2" s="152"/>
      <c r="O2" s="152"/>
      <c r="P2" s="152"/>
      <c r="Q2" s="152"/>
      <c r="R2" s="152"/>
      <c r="S2" s="152"/>
      <c r="T2" s="152"/>
      <c r="U2" s="152"/>
      <c r="V2" s="9"/>
      <c r="W2" s="9"/>
      <c r="X2" s="9"/>
    </row>
    <row r="3" spans="1:24" ht="9" customHeight="1" x14ac:dyDescent="0.25">
      <c r="A3" s="155" t="s">
        <v>11</v>
      </c>
      <c r="B3" s="155">
        <f>(0*(((1-RemiseCoef!$B$4)*RemiseCoef!$B$6)))+(RemiseCoef!forfait)</f>
        <v>0</v>
      </c>
      <c r="C3" s="155">
        <f>(0*(((1-RemiseCoef!$B$4)*RemiseCoef!$B$6)))+(RemiseCoef!forfait)</f>
        <v>0</v>
      </c>
      <c r="D3" s="155">
        <f>(0*(((1-RemiseCoef!$B$4)*RemiseCoef!$B$6)))+(RemiseCoef!forfait)</f>
        <v>0</v>
      </c>
      <c r="E3" s="155">
        <f>(0*(((1-RemiseCoef!$B$4)*RemiseCoef!$B$6)))+(RemiseCoef!forfait)</f>
        <v>0</v>
      </c>
      <c r="F3" s="155">
        <f>(0*(((1-RemiseCoef!$B$4)*RemiseCoef!$B$6)))+(RemiseCoef!forfait)</f>
        <v>0</v>
      </c>
      <c r="G3" s="155">
        <f>(0*(((1-RemiseCoef!$B$4)*RemiseCoef!$B$6)))+(RemiseCoef!forfait)</f>
        <v>0</v>
      </c>
      <c r="H3" s="155">
        <f>(0*(((1-RemiseCoef!$B$4)*RemiseCoef!$B$6)))+(RemiseCoef!forfait)</f>
        <v>0</v>
      </c>
      <c r="I3" s="155">
        <f>(0*(((1-RemiseCoef!$B$4)*RemiseCoef!$B$6)))+(RemiseCoef!forfait)</f>
        <v>0</v>
      </c>
      <c r="J3" s="8"/>
      <c r="K3" s="8"/>
      <c r="L3" s="8"/>
      <c r="M3" s="8"/>
      <c r="N3" s="8"/>
      <c r="O3" s="8"/>
      <c r="P3" s="8"/>
      <c r="Q3" s="8"/>
      <c r="R3" s="8"/>
      <c r="S3" s="8"/>
      <c r="T3" s="8"/>
      <c r="U3" s="8"/>
      <c r="V3" s="9"/>
      <c r="W3" s="9"/>
      <c r="X3" s="9"/>
    </row>
    <row r="4" spans="1:24" ht="25.5" customHeight="1" x14ac:dyDescent="0.25">
      <c r="A4" s="156">
        <f>(0*(((1-RemiseCoef!$B$4)*RemiseCoef!$B$6)))+(RemiseCoef!forfait)</f>
        <v>0</v>
      </c>
      <c r="B4" s="156">
        <f>(0*(((1-RemiseCoef!$B$4)*RemiseCoef!$B$6)))+(RemiseCoef!forfait)</f>
        <v>0</v>
      </c>
      <c r="C4" s="156">
        <f>(0*(((1-RemiseCoef!$B$4)*RemiseCoef!$B$6)))+(RemiseCoef!forfait)</f>
        <v>0</v>
      </c>
      <c r="D4" s="156">
        <f>(0*(((1-RemiseCoef!$B$4)*RemiseCoef!$B$6)))+(RemiseCoef!forfait)</f>
        <v>0</v>
      </c>
      <c r="E4" s="156">
        <f>(0*(((1-RemiseCoef!$B$4)*RemiseCoef!$B$6)))+(RemiseCoef!forfait)</f>
        <v>0</v>
      </c>
      <c r="F4" s="156">
        <f>(0*(((1-RemiseCoef!$B$4)*RemiseCoef!$B$6)))+(RemiseCoef!forfait)</f>
        <v>0</v>
      </c>
      <c r="G4" s="156">
        <f>(0*(((1-RemiseCoef!$B$4)*RemiseCoef!$B$6)))+(RemiseCoef!forfait)</f>
        <v>0</v>
      </c>
      <c r="H4" s="156">
        <f>(0*(((1-RemiseCoef!$B$4)*RemiseCoef!$B$6)))+(RemiseCoef!forfait)</f>
        <v>0</v>
      </c>
      <c r="I4" s="156">
        <f>(0*(((1-RemiseCoef!$B$4)*RemiseCoef!$B$6)))+(RemiseCoef!forfait)</f>
        <v>0</v>
      </c>
      <c r="J4" s="153" t="s">
        <v>1</v>
      </c>
      <c r="K4" s="153">
        <f>(0*(((1-RemiseCoef!$B$4)*RemiseCoef!$B$6)))+(RemiseCoef!forfait)</f>
        <v>0</v>
      </c>
      <c r="L4" s="153">
        <f>(0*(((1-RemiseCoef!$B$4)*RemiseCoef!$B$6)))+(RemiseCoef!forfait)</f>
        <v>0</v>
      </c>
      <c r="M4" s="154" t="s">
        <v>2</v>
      </c>
      <c r="N4" s="154">
        <f>(0*(((1-RemiseCoef!$B$4)*RemiseCoef!$B$6)))+(RemiseCoef!forfait)</f>
        <v>0</v>
      </c>
      <c r="O4" s="154">
        <f>(0*(((1-RemiseCoef!$B$4)*RemiseCoef!$B$6)))+(RemiseCoef!forfait)</f>
        <v>0</v>
      </c>
      <c r="P4" s="154" t="s">
        <v>104</v>
      </c>
      <c r="Q4" s="154">
        <f>(0*(((1-RemiseCoef!$B$4)*RemiseCoef!$B$6)))+(RemiseCoef!forfait)</f>
        <v>0</v>
      </c>
      <c r="R4" s="154">
        <f>(0*(((1-RemiseCoef!$B$4)*RemiseCoef!$B$6)))+(RemiseCoef!forfait)</f>
        <v>0</v>
      </c>
      <c r="S4" s="154" t="s">
        <v>3</v>
      </c>
      <c r="T4" s="154">
        <f>(0*(((1-RemiseCoef!$B$4)*RemiseCoef!$B$6)))+(RemiseCoef!forfait)</f>
        <v>0</v>
      </c>
      <c r="U4" s="154">
        <f>(0*(((1-RemiseCoef!$B$4)*RemiseCoef!$B$6)))+(RemiseCoef!forfait)</f>
        <v>0</v>
      </c>
      <c r="V4" s="9"/>
      <c r="W4" s="9"/>
      <c r="X4" s="9"/>
    </row>
    <row r="5" spans="1:24" ht="13.5" customHeight="1" x14ac:dyDescent="0.25">
      <c r="A5" s="131" t="s">
        <v>70</v>
      </c>
      <c r="B5" s="131">
        <f>(0*(((1-RemiseCoef!$B$4)*RemiseCoef!$B$6)))+(RemiseCoef!forfait)</f>
        <v>0</v>
      </c>
      <c r="C5" s="131">
        <f>(0*(((1-RemiseCoef!$B$4)*RemiseCoef!$B$6)))+(RemiseCoef!forfait)</f>
        <v>0</v>
      </c>
      <c r="D5" s="131">
        <f>(0*(((1-RemiseCoef!$B$4)*RemiseCoef!$B$6)))+(RemiseCoef!forfait)</f>
        <v>0</v>
      </c>
      <c r="E5" s="131">
        <f>(0*(((1-RemiseCoef!$B$4)*RemiseCoef!$B$6)))+(RemiseCoef!forfait)</f>
        <v>0</v>
      </c>
      <c r="F5" s="131">
        <f>(0*(((1-RemiseCoef!$B$4)*RemiseCoef!$B$6)))+(RemiseCoef!forfait)</f>
        <v>0</v>
      </c>
      <c r="G5" s="131">
        <f>(0*(((1-RemiseCoef!$B$4)*RemiseCoef!$B$6)))+(RemiseCoef!forfait)</f>
        <v>0</v>
      </c>
      <c r="H5" s="131">
        <f>(0*(((1-RemiseCoef!$B$4)*RemiseCoef!$B$6)))+(RemiseCoef!forfait)</f>
        <v>0</v>
      </c>
      <c r="I5" s="131">
        <f>(0*(((1-RemiseCoef!$B$4)*RemiseCoef!$B$6)))+(RemiseCoef!forfait)</f>
        <v>0</v>
      </c>
      <c r="J5" s="151">
        <f>(43*(((1-RemiseCoef!$B$4)*RemiseCoef!$B$6)))</f>
        <v>43</v>
      </c>
      <c r="K5" s="151">
        <f>(0*(((1-RemiseCoef!$B$4)*RemiseCoef!$B$6)))+(RemiseCoef!forfait)</f>
        <v>0</v>
      </c>
      <c r="L5" s="151">
        <f>(0*(((1-RemiseCoef!$B$4)*RemiseCoef!$B$6)))+(RemiseCoef!forfait)</f>
        <v>0</v>
      </c>
      <c r="M5" s="151">
        <f>(0*(((1-RemiseCoef!$B$4)*RemiseCoef!$B$6)))+(RemiseCoef!forfait)</f>
        <v>0</v>
      </c>
      <c r="N5" s="151">
        <f>(0*(((1-RemiseCoef!$B$4)*RemiseCoef!$B$6)))+(RemiseCoef!forfait)</f>
        <v>0</v>
      </c>
      <c r="O5" s="151">
        <f>(0*(((1-RemiseCoef!$B$4)*RemiseCoef!$B$6)))+(RemiseCoef!forfait)</f>
        <v>0</v>
      </c>
      <c r="P5" s="151">
        <f>(0*(((1-RemiseCoef!$B$4)*RemiseCoef!$B$6)))+(RemiseCoef!forfait)</f>
        <v>0</v>
      </c>
      <c r="Q5" s="151">
        <f>(0*(((1-RemiseCoef!$B$4)*RemiseCoef!$B$6)))+(RemiseCoef!forfait)</f>
        <v>0</v>
      </c>
      <c r="R5" s="151">
        <f>(0*(((1-RemiseCoef!$B$4)*RemiseCoef!$B$6)))+(RemiseCoef!forfait)</f>
        <v>0</v>
      </c>
      <c r="S5" s="151">
        <f>(0*(((1-RemiseCoef!$B$4)*RemiseCoef!$B$6)))+(RemiseCoef!forfait)</f>
        <v>0</v>
      </c>
      <c r="T5" s="151">
        <f>(0*(((1-RemiseCoef!$B$4)*RemiseCoef!$B$6)))+(RemiseCoef!forfait)</f>
        <v>0</v>
      </c>
      <c r="U5" s="151">
        <f>(0*(((1-RemiseCoef!$B$4)*RemiseCoef!$B$6)))+(RemiseCoef!forfait)</f>
        <v>0</v>
      </c>
      <c r="V5" s="9"/>
      <c r="W5" s="9"/>
      <c r="X5" s="9"/>
    </row>
    <row r="6" spans="1:24" ht="13.5" customHeight="1" x14ac:dyDescent="0.25">
      <c r="A6" s="131" t="s">
        <v>71</v>
      </c>
      <c r="B6" s="131">
        <f>(0*(((1-RemiseCoef!$B$4)*RemiseCoef!$B$6)))+(RemiseCoef!forfait)</f>
        <v>0</v>
      </c>
      <c r="C6" s="131">
        <f>(0*(((1-RemiseCoef!$B$4)*RemiseCoef!$B$6)))+(RemiseCoef!forfait)</f>
        <v>0</v>
      </c>
      <c r="D6" s="131">
        <f>(0*(((1-RemiseCoef!$B$4)*RemiseCoef!$B$6)))+(RemiseCoef!forfait)</f>
        <v>0</v>
      </c>
      <c r="E6" s="131">
        <f>(0*(((1-RemiseCoef!$B$4)*RemiseCoef!$B$6)))+(RemiseCoef!forfait)</f>
        <v>0</v>
      </c>
      <c r="F6" s="131">
        <f>(0*(((1-RemiseCoef!$B$4)*RemiseCoef!$B$6)))+(RemiseCoef!forfait)</f>
        <v>0</v>
      </c>
      <c r="G6" s="131">
        <f>(0*(((1-RemiseCoef!$B$4)*RemiseCoef!$B$6)))+(RemiseCoef!forfait)</f>
        <v>0</v>
      </c>
      <c r="H6" s="131">
        <f>(0*(((1-RemiseCoef!$B$4)*RemiseCoef!$B$6)))+(RemiseCoef!forfait)</f>
        <v>0</v>
      </c>
      <c r="I6" s="131">
        <f>(0*(((1-RemiseCoef!$B$4)*RemiseCoef!$B$6)))+(RemiseCoef!forfait)</f>
        <v>0</v>
      </c>
      <c r="J6" s="151">
        <f>(60*(((1-RemiseCoef!$B$4)*RemiseCoef!$B$6)))</f>
        <v>60</v>
      </c>
      <c r="K6" s="151">
        <f>(0*(((1-RemiseCoef!$B$4)*RemiseCoef!$B$6)))+(RemiseCoef!forfait)</f>
        <v>0</v>
      </c>
      <c r="L6" s="151">
        <f>(0*(((1-RemiseCoef!$B$4)*RemiseCoef!$B$6)))+(RemiseCoef!forfait)</f>
        <v>0</v>
      </c>
      <c r="M6" s="151">
        <f>(0*(((1-RemiseCoef!$B$4)*RemiseCoef!$B$6)))+(RemiseCoef!forfait)</f>
        <v>0</v>
      </c>
      <c r="N6" s="151">
        <f>(0*(((1-RemiseCoef!$B$4)*RemiseCoef!$B$6)))+(RemiseCoef!forfait)</f>
        <v>0</v>
      </c>
      <c r="O6" s="151">
        <f>(0*(((1-RemiseCoef!$B$4)*RemiseCoef!$B$6)))+(RemiseCoef!forfait)</f>
        <v>0</v>
      </c>
      <c r="P6" s="151">
        <f>(0*(((1-RemiseCoef!$B$4)*RemiseCoef!$B$6)))+(RemiseCoef!forfait)</f>
        <v>0</v>
      </c>
      <c r="Q6" s="151">
        <f>(0*(((1-RemiseCoef!$B$4)*RemiseCoef!$B$6)))+(RemiseCoef!forfait)</f>
        <v>0</v>
      </c>
      <c r="R6" s="151">
        <f>(0*(((1-RemiseCoef!$B$4)*RemiseCoef!$B$6)))+(RemiseCoef!forfait)</f>
        <v>0</v>
      </c>
      <c r="S6" s="151">
        <f>(0*(((1-RemiseCoef!$B$4)*RemiseCoef!$B$6)))+(RemiseCoef!forfait)</f>
        <v>0</v>
      </c>
      <c r="T6" s="151">
        <f>(0*(((1-RemiseCoef!$B$4)*RemiseCoef!$B$6)))+(RemiseCoef!forfait)</f>
        <v>0</v>
      </c>
      <c r="U6" s="151">
        <f>(0*(((1-RemiseCoef!$B$4)*RemiseCoef!$B$6)))+(RemiseCoef!forfait)</f>
        <v>0</v>
      </c>
      <c r="V6" s="9"/>
      <c r="W6" s="9"/>
      <c r="X6" s="9"/>
    </row>
    <row r="7" spans="1:24" ht="13.5" customHeight="1" x14ac:dyDescent="0.25">
      <c r="A7" s="131" t="s">
        <v>4</v>
      </c>
      <c r="B7" s="131">
        <f>(0*(((1-RemiseCoef!$B$4)*RemiseCoef!$B$6)))+(RemiseCoef!forfait)</f>
        <v>0</v>
      </c>
      <c r="C7" s="131">
        <f>(0*(((1-RemiseCoef!$B$4)*RemiseCoef!$B$6)))+(RemiseCoef!forfait)</f>
        <v>0</v>
      </c>
      <c r="D7" s="131">
        <f>(0*(((1-RemiseCoef!$B$4)*RemiseCoef!$B$6)))+(RemiseCoef!forfait)</f>
        <v>0</v>
      </c>
      <c r="E7" s="131">
        <f>(0*(((1-RemiseCoef!$B$4)*RemiseCoef!$B$6)))+(RemiseCoef!forfait)</f>
        <v>0</v>
      </c>
      <c r="F7" s="131">
        <f>(0*(((1-RemiseCoef!$B$4)*RemiseCoef!$B$6)))+(RemiseCoef!forfait)</f>
        <v>0</v>
      </c>
      <c r="G7" s="131">
        <f>(0*(((1-RemiseCoef!$B$4)*RemiseCoef!$B$6)))+(RemiseCoef!forfait)</f>
        <v>0</v>
      </c>
      <c r="H7" s="131">
        <f>(0*(((1-RemiseCoef!$B$4)*RemiseCoef!$B$6)))+(RemiseCoef!forfait)</f>
        <v>0</v>
      </c>
      <c r="I7" s="131">
        <f>(0*(((1-RemiseCoef!$B$4)*RemiseCoef!$B$6)))+(RemiseCoef!forfait)</f>
        <v>0</v>
      </c>
      <c r="J7" s="138" t="s">
        <v>10</v>
      </c>
      <c r="K7" s="138">
        <f>(0*(((1-RemiseCoef!$B$4)*RemiseCoef!$B$6)))+(RemiseCoef!forfait)</f>
        <v>0</v>
      </c>
      <c r="L7" s="138">
        <f>(0*(((1-RemiseCoef!$B$4)*RemiseCoef!$B$6)))+(RemiseCoef!forfait)</f>
        <v>0</v>
      </c>
      <c r="M7" s="138">
        <f>(144*(((1-RemiseCoef!$B$4)*RemiseCoef!$B$6)))</f>
        <v>144</v>
      </c>
      <c r="N7" s="138">
        <f>(0*(((1-RemiseCoef!$B$4)*RemiseCoef!$B$6)))+(RemiseCoef!forfait)</f>
        <v>0</v>
      </c>
      <c r="O7" s="138">
        <f>(0*(((1-RemiseCoef!$B$4)*RemiseCoef!$B$6)))+(RemiseCoef!forfait)</f>
        <v>0</v>
      </c>
      <c r="P7" s="138">
        <f>(102*(((1-RemiseCoef!$B$4)*RemiseCoef!$B$6)))</f>
        <v>102</v>
      </c>
      <c r="Q7" s="138">
        <f>(0*(((1-RemiseCoef!$B$4)*RemiseCoef!$B$6)))+(RemiseCoef!forfait)</f>
        <v>0</v>
      </c>
      <c r="R7" s="138">
        <f>(0*(((1-RemiseCoef!$B$4)*RemiseCoef!$B$6)))+(RemiseCoef!forfait)</f>
        <v>0</v>
      </c>
      <c r="S7" s="138">
        <f>(102*(((1-RemiseCoef!$B$4)*RemiseCoef!$B$6)))</f>
        <v>102</v>
      </c>
      <c r="T7" s="138">
        <f>(0*(((1-RemiseCoef!$B$4)*RemiseCoef!$B$6)))+(RemiseCoef!forfait)</f>
        <v>0</v>
      </c>
      <c r="U7" s="138">
        <f>(0*(((1-RemiseCoef!$B$4)*RemiseCoef!$B$6)))+(RemiseCoef!forfait)</f>
        <v>0</v>
      </c>
      <c r="V7" s="9"/>
      <c r="W7" s="9"/>
      <c r="X7" s="9"/>
    </row>
    <row r="8" spans="1:24" ht="13.5" customHeight="1" x14ac:dyDescent="0.25">
      <c r="A8" s="131" t="s">
        <v>5</v>
      </c>
      <c r="B8" s="131">
        <f>(0*(((1-RemiseCoef!$B$4)*RemiseCoef!$B$6)))+(RemiseCoef!forfait)</f>
        <v>0</v>
      </c>
      <c r="C8" s="131">
        <f>(0*(((1-RemiseCoef!$B$4)*RemiseCoef!$B$6)))+(RemiseCoef!forfait)</f>
        <v>0</v>
      </c>
      <c r="D8" s="131">
        <f>(0*(((1-RemiseCoef!$B$4)*RemiseCoef!$B$6)))+(RemiseCoef!forfait)</f>
        <v>0</v>
      </c>
      <c r="E8" s="131">
        <f>(0*(((1-RemiseCoef!$B$4)*RemiseCoef!$B$6)))+(RemiseCoef!forfait)</f>
        <v>0</v>
      </c>
      <c r="F8" s="131">
        <f>(0*(((1-RemiseCoef!$B$4)*RemiseCoef!$B$6)))+(RemiseCoef!forfait)</f>
        <v>0</v>
      </c>
      <c r="G8" s="131">
        <f>(0*(((1-RemiseCoef!$B$4)*RemiseCoef!$B$6)))+(RemiseCoef!forfait)</f>
        <v>0</v>
      </c>
      <c r="H8" s="131">
        <f>(0*(((1-RemiseCoef!$B$4)*RemiseCoef!$B$6)))+(RemiseCoef!forfait)</f>
        <v>0</v>
      </c>
      <c r="I8" s="131">
        <f>(0*(((1-RemiseCoef!$B$4)*RemiseCoef!$B$6)))+(RemiseCoef!forfait)</f>
        <v>0</v>
      </c>
      <c r="J8" s="138" t="s">
        <v>10</v>
      </c>
      <c r="K8" s="138">
        <f>(0*(((1-RemiseCoef!$B$4)*RemiseCoef!$B$6)))+(RemiseCoef!forfait)</f>
        <v>0</v>
      </c>
      <c r="L8" s="138">
        <f>(0*(((1-RemiseCoef!$B$4)*RemiseCoef!$B$6)))+(RemiseCoef!forfait)</f>
        <v>0</v>
      </c>
      <c r="M8" s="138">
        <f>(53*(((1-RemiseCoef!$B$4)*RemiseCoef!$B$6)))</f>
        <v>53</v>
      </c>
      <c r="N8" s="138">
        <f>(0*(((1-RemiseCoef!$B$4)*RemiseCoef!$B$6)))+(RemiseCoef!forfait)</f>
        <v>0</v>
      </c>
      <c r="O8" s="138">
        <f>(0*(((1-RemiseCoef!$B$4)*RemiseCoef!$B$6)))+(RemiseCoef!forfait)</f>
        <v>0</v>
      </c>
      <c r="P8" s="138">
        <f>(103*(((1-RemiseCoef!$B$4)*RemiseCoef!$B$6)))</f>
        <v>103</v>
      </c>
      <c r="Q8" s="138">
        <f>(0*(((1-RemiseCoef!$B$4)*RemiseCoef!$B$6)))+(RemiseCoef!forfait)</f>
        <v>0</v>
      </c>
      <c r="R8" s="138">
        <f>(0*(((1-RemiseCoef!$B$4)*RemiseCoef!$B$6)))+(RemiseCoef!forfait)</f>
        <v>0</v>
      </c>
      <c r="S8" s="138">
        <f>(111*(((1-RemiseCoef!$B$4)*RemiseCoef!$B$6)))</f>
        <v>111</v>
      </c>
      <c r="T8" s="138">
        <f>(0*(((1-RemiseCoef!$B$4)*RemiseCoef!$B$6)))+(RemiseCoef!forfait)</f>
        <v>0</v>
      </c>
      <c r="U8" s="138">
        <f>(0*(((1-RemiseCoef!$B$4)*RemiseCoef!$B$6)))+(RemiseCoef!forfait)</f>
        <v>0</v>
      </c>
      <c r="V8" s="9"/>
      <c r="W8" s="9"/>
      <c r="X8" s="9"/>
    </row>
    <row r="9" spans="1:24" ht="13.5" customHeight="1" x14ac:dyDescent="0.25">
      <c r="A9" s="131" t="s">
        <v>6</v>
      </c>
      <c r="B9" s="131">
        <f>(0*(((1-RemiseCoef!$B$4)*RemiseCoef!$B$6)))+(RemiseCoef!forfait)</f>
        <v>0</v>
      </c>
      <c r="C9" s="131">
        <f>(0*(((1-RemiseCoef!$B$4)*RemiseCoef!$B$6)))+(RemiseCoef!forfait)</f>
        <v>0</v>
      </c>
      <c r="D9" s="131">
        <f>(0*(((1-RemiseCoef!$B$4)*RemiseCoef!$B$6)))+(RemiseCoef!forfait)</f>
        <v>0</v>
      </c>
      <c r="E9" s="131">
        <f>(0*(((1-RemiseCoef!$B$4)*RemiseCoef!$B$6)))+(RemiseCoef!forfait)</f>
        <v>0</v>
      </c>
      <c r="F9" s="131">
        <f>(0*(((1-RemiseCoef!$B$4)*RemiseCoef!$B$6)))+(RemiseCoef!forfait)</f>
        <v>0</v>
      </c>
      <c r="G9" s="131">
        <f>(0*(((1-RemiseCoef!$B$4)*RemiseCoef!$B$6)))+(RemiseCoef!forfait)</f>
        <v>0</v>
      </c>
      <c r="H9" s="131">
        <f>(0*(((1-RemiseCoef!$B$4)*RemiseCoef!$B$6)))+(RemiseCoef!forfait)</f>
        <v>0</v>
      </c>
      <c r="I9" s="131">
        <f>(0*(((1-RemiseCoef!$B$4)*RemiseCoef!$B$6)))+(RemiseCoef!forfait)</f>
        <v>0</v>
      </c>
      <c r="J9" s="138" t="s">
        <v>10</v>
      </c>
      <c r="K9" s="138">
        <f>(0*(((1-RemiseCoef!$B$4)*RemiseCoef!$B$6)))+(RemiseCoef!forfait)</f>
        <v>0</v>
      </c>
      <c r="L9" s="138">
        <f>(0*(((1-RemiseCoef!$B$4)*RemiseCoef!$B$6)))+(RemiseCoef!forfait)</f>
        <v>0</v>
      </c>
      <c r="M9" s="138">
        <f>(39*(((1-RemiseCoef!$B$4)*RemiseCoef!$B$6)))</f>
        <v>39</v>
      </c>
      <c r="N9" s="138">
        <f>(0*(((1-RemiseCoef!$B$4)*RemiseCoef!$B$6)))+(RemiseCoef!forfait)</f>
        <v>0</v>
      </c>
      <c r="O9" s="138">
        <f>(0*(((1-RemiseCoef!$B$4)*RemiseCoef!$B$6)))+(RemiseCoef!forfait)</f>
        <v>0</v>
      </c>
      <c r="P9" s="138">
        <f>(39*(((1-RemiseCoef!$B$4)*RemiseCoef!$B$6)))</f>
        <v>39</v>
      </c>
      <c r="Q9" s="138">
        <f>(0*(((1-RemiseCoef!$B$4)*RemiseCoef!$B$6)))+(RemiseCoef!forfait)</f>
        <v>0</v>
      </c>
      <c r="R9" s="138">
        <f>(0*(((1-RemiseCoef!$B$4)*RemiseCoef!$B$6)))+(RemiseCoef!forfait)</f>
        <v>0</v>
      </c>
      <c r="S9" s="138">
        <f>(39*(((1-RemiseCoef!$B$4)*RemiseCoef!$B$6)))</f>
        <v>39</v>
      </c>
      <c r="T9" s="138">
        <f>(0*(((1-RemiseCoef!$B$4)*RemiseCoef!$B$6)))+(RemiseCoef!forfait)</f>
        <v>0</v>
      </c>
      <c r="U9" s="138">
        <f>(0*(((1-RemiseCoef!$B$4)*RemiseCoef!$B$6)))+(RemiseCoef!forfait)</f>
        <v>0</v>
      </c>
      <c r="V9" s="9"/>
      <c r="W9" s="9"/>
      <c r="X9" s="9"/>
    </row>
    <row r="10" spans="1:24" ht="13.5" customHeight="1" x14ac:dyDescent="0.25">
      <c r="A10" s="131" t="s">
        <v>17</v>
      </c>
      <c r="B10" s="131">
        <f>(0*(((1-RemiseCoef!$B$4)*RemiseCoef!$B$6)))+(RemiseCoef!forfait)</f>
        <v>0</v>
      </c>
      <c r="C10" s="131">
        <f>(0*(((1-RemiseCoef!$B$4)*RemiseCoef!$B$6)))+(RemiseCoef!forfait)</f>
        <v>0</v>
      </c>
      <c r="D10" s="131">
        <f>(0*(((1-RemiseCoef!$B$4)*RemiseCoef!$B$6)))+(RemiseCoef!forfait)</f>
        <v>0</v>
      </c>
      <c r="E10" s="131">
        <f>(0*(((1-RemiseCoef!$B$4)*RemiseCoef!$B$6)))+(RemiseCoef!forfait)</f>
        <v>0</v>
      </c>
      <c r="F10" s="131">
        <f>(0*(((1-RemiseCoef!$B$4)*RemiseCoef!$B$6)))+(RemiseCoef!forfait)</f>
        <v>0</v>
      </c>
      <c r="G10" s="131">
        <f>(0*(((1-RemiseCoef!$B$4)*RemiseCoef!$B$6)))+(RemiseCoef!forfait)</f>
        <v>0</v>
      </c>
      <c r="H10" s="131">
        <f>(0*(((1-RemiseCoef!$B$4)*RemiseCoef!$B$6)))+(RemiseCoef!forfait)</f>
        <v>0</v>
      </c>
      <c r="I10" s="131">
        <f>(0*(((1-RemiseCoef!$B$4)*RemiseCoef!$B$6)))+(RemiseCoef!forfait)</f>
        <v>0</v>
      </c>
      <c r="J10" s="138" t="s">
        <v>10</v>
      </c>
      <c r="K10" s="138">
        <f>(0*(((1-RemiseCoef!$B$4)*RemiseCoef!$B$6)))+(RemiseCoef!forfait)</f>
        <v>0</v>
      </c>
      <c r="L10" s="138">
        <f>(0*(((1-RemiseCoef!$B$4)*RemiseCoef!$B$6)))+(RemiseCoef!forfait)</f>
        <v>0</v>
      </c>
      <c r="M10" s="138">
        <f>(74*(((1-RemiseCoef!$B$4)*RemiseCoef!$B$6)))</f>
        <v>74</v>
      </c>
      <c r="N10" s="138">
        <f>(0*(((1-RemiseCoef!$B$4)*RemiseCoef!$B$6)))+(RemiseCoef!forfait)</f>
        <v>0</v>
      </c>
      <c r="O10" s="138">
        <f>(0*(((1-RemiseCoef!$B$4)*RemiseCoef!$B$6)))+(RemiseCoef!forfait)</f>
        <v>0</v>
      </c>
      <c r="P10" s="138">
        <f>(74*(((1-RemiseCoef!$B$4)*RemiseCoef!$B$6)))</f>
        <v>74</v>
      </c>
      <c r="Q10" s="138">
        <f>(0*(((1-RemiseCoef!$B$4)*RemiseCoef!$B$6)))+(RemiseCoef!forfait)</f>
        <v>0</v>
      </c>
      <c r="R10" s="138">
        <f>(0*(((1-RemiseCoef!$B$4)*RemiseCoef!$B$6)))+(RemiseCoef!forfait)</f>
        <v>0</v>
      </c>
      <c r="S10" s="138">
        <f>(74*(((1-RemiseCoef!$B$4)*RemiseCoef!$B$6)))</f>
        <v>74</v>
      </c>
      <c r="T10" s="138">
        <f>(0*(((1-RemiseCoef!$B$4)*RemiseCoef!$B$6)))+(RemiseCoef!forfait)</f>
        <v>0</v>
      </c>
      <c r="U10" s="138">
        <f>(0*(((1-RemiseCoef!$B$4)*RemiseCoef!$B$6)))+(RemiseCoef!forfait)</f>
        <v>0</v>
      </c>
      <c r="V10" s="9"/>
      <c r="W10" s="9"/>
      <c r="X10" s="9"/>
    </row>
    <row r="11" spans="1:24" ht="13.5" customHeight="1" x14ac:dyDescent="0.25">
      <c r="A11" s="131" t="s">
        <v>7</v>
      </c>
      <c r="B11" s="131">
        <f>(0*(((1-RemiseCoef!$B$4)*RemiseCoef!$B$6)))+(RemiseCoef!forfait)</f>
        <v>0</v>
      </c>
      <c r="C11" s="131">
        <f>(0*(((1-RemiseCoef!$B$4)*RemiseCoef!$B$6)))+(RemiseCoef!forfait)</f>
        <v>0</v>
      </c>
      <c r="D11" s="131">
        <f>(0*(((1-RemiseCoef!$B$4)*RemiseCoef!$B$6)))+(RemiseCoef!forfait)</f>
        <v>0</v>
      </c>
      <c r="E11" s="131">
        <f>(0*(((1-RemiseCoef!$B$4)*RemiseCoef!$B$6)))+(RemiseCoef!forfait)</f>
        <v>0</v>
      </c>
      <c r="F11" s="131">
        <f>(0*(((1-RemiseCoef!$B$4)*RemiseCoef!$B$6)))+(RemiseCoef!forfait)</f>
        <v>0</v>
      </c>
      <c r="G11" s="131">
        <f>(0*(((1-RemiseCoef!$B$4)*RemiseCoef!$B$6)))+(RemiseCoef!forfait)</f>
        <v>0</v>
      </c>
      <c r="H11" s="131">
        <f>(0*(((1-RemiseCoef!$B$4)*RemiseCoef!$B$6)))+(RemiseCoef!forfait)</f>
        <v>0</v>
      </c>
      <c r="I11" s="131">
        <f>(0*(((1-RemiseCoef!$B$4)*RemiseCoef!$B$6)))+(RemiseCoef!forfait)</f>
        <v>0</v>
      </c>
      <c r="J11" s="138">
        <f>(148*(((1-RemiseCoef!$B$4)*RemiseCoef!$B$6)))+(RemiseCoef!forfait)</f>
        <v>148</v>
      </c>
      <c r="K11" s="138">
        <f>(0*(((1-RemiseCoef!$B$4)*RemiseCoef!$B$6)))+(RemiseCoef!forfait)</f>
        <v>0</v>
      </c>
      <c r="L11" s="138">
        <f>(0*(((1-RemiseCoef!$B$4)*RemiseCoef!$B$6)))+(RemiseCoef!forfait)</f>
        <v>0</v>
      </c>
      <c r="M11" s="150" t="s">
        <v>10</v>
      </c>
      <c r="N11" s="150">
        <f>(0*(((1-RemiseCoef!$B$4)*RemiseCoef!$B$6)))+(RemiseCoef!forfait)</f>
        <v>0</v>
      </c>
      <c r="O11" s="150">
        <f>(0*(((1-RemiseCoef!$B$4)*RemiseCoef!$B$6)))+(RemiseCoef!forfait)</f>
        <v>0</v>
      </c>
      <c r="P11" s="150">
        <f>(0*(((1-RemiseCoef!$B$4)*RemiseCoef!$B$6)))+(RemiseCoef!forfait)</f>
        <v>0</v>
      </c>
      <c r="Q11" s="150">
        <f>(0*(((1-RemiseCoef!$B$4)*RemiseCoef!$B$6)))+(RemiseCoef!forfait)</f>
        <v>0</v>
      </c>
      <c r="R11" s="150">
        <f>(0*(((1-RemiseCoef!$B$4)*RemiseCoef!$B$6)))+(RemiseCoef!forfait)</f>
        <v>0</v>
      </c>
      <c r="S11" s="150">
        <f>(0*(((1-RemiseCoef!$B$4)*RemiseCoef!$B$6)))+(RemiseCoef!forfait)</f>
        <v>0</v>
      </c>
      <c r="T11" s="150">
        <f>(0*(((1-RemiseCoef!$B$4)*RemiseCoef!$B$6)))+(RemiseCoef!forfait)</f>
        <v>0</v>
      </c>
      <c r="U11" s="150">
        <f>(0*(((1-RemiseCoef!$B$4)*RemiseCoef!$B$6)))+(RemiseCoef!forfait)</f>
        <v>0</v>
      </c>
      <c r="V11" s="9"/>
      <c r="W11" s="9"/>
      <c r="X11" s="9"/>
    </row>
    <row r="12" spans="1:24" ht="13.5" customHeight="1" x14ac:dyDescent="0.25">
      <c r="A12" s="131" t="s">
        <v>73</v>
      </c>
      <c r="B12" s="131">
        <f>(0*(((1-RemiseCoef!$B$4)*RemiseCoef!$B$6)))+(RemiseCoef!forfait)</f>
        <v>0</v>
      </c>
      <c r="C12" s="131">
        <f>(0*(((1-RemiseCoef!$B$4)*RemiseCoef!$B$6)))+(RemiseCoef!forfait)</f>
        <v>0</v>
      </c>
      <c r="D12" s="131">
        <f>(0*(((1-RemiseCoef!$B$4)*RemiseCoef!$B$6)))+(RemiseCoef!forfait)</f>
        <v>0</v>
      </c>
      <c r="E12" s="131">
        <f>(0*(((1-RemiseCoef!$B$4)*RemiseCoef!$B$6)))+(RemiseCoef!forfait)</f>
        <v>0</v>
      </c>
      <c r="F12" s="131">
        <f>(0*(((1-RemiseCoef!$B$4)*RemiseCoef!$B$6)))+(RemiseCoef!forfait)</f>
        <v>0</v>
      </c>
      <c r="G12" s="131">
        <f>(0*(((1-RemiseCoef!$B$4)*RemiseCoef!$B$6)))+(RemiseCoef!forfait)</f>
        <v>0</v>
      </c>
      <c r="H12" s="131">
        <f>(0*(((1-RemiseCoef!$B$4)*RemiseCoef!$B$6)))+(RemiseCoef!forfait)</f>
        <v>0</v>
      </c>
      <c r="I12" s="131">
        <f>(0*(((1-RemiseCoef!$B$4)*RemiseCoef!$B$6)))+(RemiseCoef!forfait)</f>
        <v>0</v>
      </c>
      <c r="J12" s="138" t="s">
        <v>10</v>
      </c>
      <c r="K12" s="138">
        <f>(0*(((1-RemiseCoef!$B$4)*RemiseCoef!$B$6)))+(RemiseCoef!forfait)</f>
        <v>0</v>
      </c>
      <c r="L12" s="138">
        <f>(0*(((1-RemiseCoef!$B$4)*RemiseCoef!$B$6)))+(RemiseCoef!forfait)</f>
        <v>0</v>
      </c>
      <c r="M12" s="138" t="s">
        <v>10</v>
      </c>
      <c r="N12" s="138">
        <f>(0*(((1-RemiseCoef!$B$4)*RemiseCoef!$B$6)))+(RemiseCoef!forfait)</f>
        <v>0</v>
      </c>
      <c r="O12" s="138">
        <f>(0*(((1-RemiseCoef!$B$4)*RemiseCoef!$B$6)))+(RemiseCoef!forfait)</f>
        <v>0</v>
      </c>
      <c r="P12" s="138">
        <f>(213*(((1-RemiseCoef!$B$4)*RemiseCoef!$B$6)))</f>
        <v>213</v>
      </c>
      <c r="Q12" s="138">
        <f>(0*(((1-RemiseCoef!$B$4)*RemiseCoef!$B$6)))+(RemiseCoef!forfait)</f>
        <v>0</v>
      </c>
      <c r="R12" s="138">
        <f>(0*(((1-RemiseCoef!$B$4)*RemiseCoef!$B$6)))+(RemiseCoef!forfait)</f>
        <v>0</v>
      </c>
      <c r="S12" s="138">
        <f>(242*(((1-RemiseCoef!$B$4)*RemiseCoef!$B$6)))</f>
        <v>242</v>
      </c>
      <c r="T12" s="138">
        <f>(0*(((1-RemiseCoef!$B$4)*RemiseCoef!$B$6)))+(RemiseCoef!forfait)</f>
        <v>0</v>
      </c>
      <c r="U12" s="138">
        <f>(0*(((1-RemiseCoef!$B$4)*RemiseCoef!$B$6)))+(RemiseCoef!forfait)</f>
        <v>0</v>
      </c>
      <c r="V12" s="9"/>
      <c r="W12" s="9"/>
      <c r="X12" s="9"/>
    </row>
    <row r="13" spans="1:24" ht="13.5" customHeight="1" x14ac:dyDescent="0.25">
      <c r="A13" s="131" t="s">
        <v>18</v>
      </c>
      <c r="B13" s="131">
        <f>(0*(((1-RemiseCoef!$B$4)*RemiseCoef!$B$6)))+(RemiseCoef!forfait)</f>
        <v>0</v>
      </c>
      <c r="C13" s="131">
        <f>(0*(((1-RemiseCoef!$B$4)*RemiseCoef!$B$6)))+(RemiseCoef!forfait)</f>
        <v>0</v>
      </c>
      <c r="D13" s="131">
        <f>(0*(((1-RemiseCoef!$B$4)*RemiseCoef!$B$6)))+(RemiseCoef!forfait)</f>
        <v>0</v>
      </c>
      <c r="E13" s="131">
        <f>(0*(((1-RemiseCoef!$B$4)*RemiseCoef!$B$6)))+(RemiseCoef!forfait)</f>
        <v>0</v>
      </c>
      <c r="F13" s="131">
        <f>(0*(((1-RemiseCoef!$B$4)*RemiseCoef!$B$6)))+(RemiseCoef!forfait)</f>
        <v>0</v>
      </c>
      <c r="G13" s="131">
        <f>(0*(((1-RemiseCoef!$B$4)*RemiseCoef!$B$6)))+(RemiseCoef!forfait)</f>
        <v>0</v>
      </c>
      <c r="H13" s="131">
        <f>(0*(((1-RemiseCoef!$B$4)*RemiseCoef!$B$6)))+(RemiseCoef!forfait)</f>
        <v>0</v>
      </c>
      <c r="I13" s="131">
        <f>(0*(((1-RemiseCoef!$B$4)*RemiseCoef!$B$6)))+(RemiseCoef!forfait)</f>
        <v>0</v>
      </c>
      <c r="J13" s="138" t="s">
        <v>10</v>
      </c>
      <c r="K13" s="138">
        <f>(0*(((1-RemiseCoef!$B$4)*RemiseCoef!$B$6)))+(RemiseCoef!forfait)</f>
        <v>0</v>
      </c>
      <c r="L13" s="138">
        <f>(0*(((1-RemiseCoef!$B$4)*RemiseCoef!$B$6)))+(RemiseCoef!forfait)</f>
        <v>0</v>
      </c>
      <c r="M13" s="138" t="s">
        <v>10</v>
      </c>
      <c r="N13" s="138">
        <f>(0*(((1-RemiseCoef!$B$4)*RemiseCoef!$B$6)))+(RemiseCoef!forfait)</f>
        <v>0</v>
      </c>
      <c r="O13" s="138">
        <f>(0*(((1-RemiseCoef!$B$4)*RemiseCoef!$B$6)))+(RemiseCoef!forfait)</f>
        <v>0</v>
      </c>
      <c r="P13" s="138">
        <f>(37*(((1-RemiseCoef!$B$4)*RemiseCoef!$B$6)))</f>
        <v>37</v>
      </c>
      <c r="Q13" s="138">
        <f>(0*(((1-RemiseCoef!$B$4)*RemiseCoef!$B$6)))+(RemiseCoef!forfait)</f>
        <v>0</v>
      </c>
      <c r="R13" s="138">
        <f>(0*(((1-RemiseCoef!$B$4)*RemiseCoef!$B$6)))+(RemiseCoef!forfait)</f>
        <v>0</v>
      </c>
      <c r="S13" s="138" t="s">
        <v>10</v>
      </c>
      <c r="T13" s="138">
        <f>(0*(((1-RemiseCoef!$B$4)*RemiseCoef!$B$6)))+(RemiseCoef!forfait)</f>
        <v>0</v>
      </c>
      <c r="U13" s="138">
        <f>(0*(((1-RemiseCoef!$B$4)*RemiseCoef!$B$6)))+(RemiseCoef!forfait)</f>
        <v>0</v>
      </c>
      <c r="V13" s="9"/>
      <c r="W13" s="9"/>
      <c r="X13" s="9"/>
    </row>
    <row r="14" spans="1:24" ht="13.5" customHeight="1" x14ac:dyDescent="0.25">
      <c r="A14" s="131" t="s">
        <v>8</v>
      </c>
      <c r="B14" s="131">
        <f>(0*(((1-RemiseCoef!$B$4)*RemiseCoef!$B$6)))+(RemiseCoef!forfait)</f>
        <v>0</v>
      </c>
      <c r="C14" s="131">
        <f>(0*(((1-RemiseCoef!$B$4)*RemiseCoef!$B$6)))+(RemiseCoef!forfait)</f>
        <v>0</v>
      </c>
      <c r="D14" s="131">
        <f>(0*(((1-RemiseCoef!$B$4)*RemiseCoef!$B$6)))+(RemiseCoef!forfait)</f>
        <v>0</v>
      </c>
      <c r="E14" s="131">
        <f>(0*(((1-RemiseCoef!$B$4)*RemiseCoef!$B$6)))+(RemiseCoef!forfait)</f>
        <v>0</v>
      </c>
      <c r="F14" s="131">
        <f>(0*(((1-RemiseCoef!$B$4)*RemiseCoef!$B$6)))+(RemiseCoef!forfait)</f>
        <v>0</v>
      </c>
      <c r="G14" s="131">
        <f>(0*(((1-RemiseCoef!$B$4)*RemiseCoef!$B$6)))+(RemiseCoef!forfait)</f>
        <v>0</v>
      </c>
      <c r="H14" s="131">
        <f>(0*(((1-RemiseCoef!$B$4)*RemiseCoef!$B$6)))+(RemiseCoef!forfait)</f>
        <v>0</v>
      </c>
      <c r="I14" s="131">
        <f>(0*(((1-RemiseCoef!$B$4)*RemiseCoef!$B$6)))+(RemiseCoef!forfait)</f>
        <v>0</v>
      </c>
      <c r="J14" s="138">
        <f>(140*(((1-RemiseCoef!$B$4)*RemiseCoef!$B$6)))+(RemiseCoef!forfait)</f>
        <v>140</v>
      </c>
      <c r="K14" s="138">
        <f>(0*(((1-RemiseCoef!$B$4)*RemiseCoef!$B$6)))+(RemiseCoef!forfait)</f>
        <v>0</v>
      </c>
      <c r="L14" s="138">
        <f>(0*(((1-RemiseCoef!$B$4)*RemiseCoef!$B$6)))+(RemiseCoef!forfait)</f>
        <v>0</v>
      </c>
      <c r="M14" s="138" t="s">
        <v>10</v>
      </c>
      <c r="N14" s="138">
        <f>(0*(((1-RemiseCoef!$B$4)*RemiseCoef!$B$6)))+(RemiseCoef!forfait)</f>
        <v>0</v>
      </c>
      <c r="O14" s="138">
        <f>(0*(((1-RemiseCoef!$B$4)*RemiseCoef!$B$6)))+(RemiseCoef!forfait)</f>
        <v>0</v>
      </c>
      <c r="P14" s="138">
        <f>(137*(((1-RemiseCoef!$B$4)*RemiseCoef!$B$6)))</f>
        <v>137</v>
      </c>
      <c r="Q14" s="138">
        <f>(0*(((1-RemiseCoef!$B$4)*RemiseCoef!$B$6)))+(RemiseCoef!forfait)</f>
        <v>0</v>
      </c>
      <c r="R14" s="138">
        <f>(0*(((1-RemiseCoef!$B$4)*RemiseCoef!$B$6)))+(RemiseCoef!forfait)</f>
        <v>0</v>
      </c>
      <c r="S14" s="138" t="s">
        <v>10</v>
      </c>
      <c r="T14" s="138">
        <f>(0*(((1-RemiseCoef!$B$4)*RemiseCoef!$B$6)))+(RemiseCoef!forfait)</f>
        <v>0</v>
      </c>
      <c r="U14" s="138">
        <f>(0*(((1-RemiseCoef!$B$4)*RemiseCoef!$B$6)))+(RemiseCoef!forfait)</f>
        <v>0</v>
      </c>
      <c r="V14" s="9"/>
      <c r="W14" s="9"/>
      <c r="X14" s="9"/>
    </row>
    <row r="15" spans="1:24" ht="13.5" customHeight="1" x14ac:dyDescent="0.25">
      <c r="A15" s="131" t="s">
        <v>58</v>
      </c>
      <c r="B15" s="131">
        <f>(0*(((1-RemiseCoef!$B$4)*RemiseCoef!$B$6)))+(RemiseCoef!forfait)</f>
        <v>0</v>
      </c>
      <c r="C15" s="131">
        <f>(0*(((1-RemiseCoef!$B$4)*RemiseCoef!$B$6)))+(RemiseCoef!forfait)</f>
        <v>0</v>
      </c>
      <c r="D15" s="131">
        <f>(0*(((1-RemiseCoef!$B$4)*RemiseCoef!$B$6)))+(RemiseCoef!forfait)</f>
        <v>0</v>
      </c>
      <c r="E15" s="131">
        <f>(0*(((1-RemiseCoef!$B$4)*RemiseCoef!$B$6)))+(RemiseCoef!forfait)</f>
        <v>0</v>
      </c>
      <c r="F15" s="131">
        <f>(0*(((1-RemiseCoef!$B$4)*RemiseCoef!$B$6)))+(RemiseCoef!forfait)</f>
        <v>0</v>
      </c>
      <c r="G15" s="131">
        <f>(0*(((1-RemiseCoef!$B$4)*RemiseCoef!$B$6)))+(RemiseCoef!forfait)</f>
        <v>0</v>
      </c>
      <c r="H15" s="131">
        <f>(0*(((1-RemiseCoef!$B$4)*RemiseCoef!$B$6)))+(RemiseCoef!forfait)</f>
        <v>0</v>
      </c>
      <c r="I15" s="131">
        <f>(0*(((1-RemiseCoef!$B$4)*RemiseCoef!$B$6)))+(RemiseCoef!forfait)</f>
        <v>0</v>
      </c>
      <c r="J15" s="138" t="s">
        <v>10</v>
      </c>
      <c r="K15" s="138">
        <f>(0*(((1-RemiseCoef!$B$4)*RemiseCoef!$B$6)))+(RemiseCoef!forfait)</f>
        <v>0</v>
      </c>
      <c r="L15" s="138">
        <f>(0*(((1-RemiseCoef!$B$4)*RemiseCoef!$B$6)))+(RemiseCoef!forfait)</f>
        <v>0</v>
      </c>
      <c r="M15" s="138">
        <f>(0*(((1-RemiseCoef!$B$4)*RemiseCoef!$B$6)))+(RemiseCoef!forfait)</f>
        <v>0</v>
      </c>
      <c r="N15" s="138">
        <f>(0*(((1-RemiseCoef!$B$4)*RemiseCoef!$B$6)))+(RemiseCoef!forfait)</f>
        <v>0</v>
      </c>
      <c r="O15" s="138">
        <f>(0*(((1-RemiseCoef!$B$4)*RemiseCoef!$B$6)))+(RemiseCoef!forfait)</f>
        <v>0</v>
      </c>
      <c r="P15" s="138">
        <f>(58*(((1-RemiseCoef!$B$4)*RemiseCoef!$B$6)))</f>
        <v>58</v>
      </c>
      <c r="Q15" s="138">
        <f>(0*(((1-RemiseCoef!$B$4)*RemiseCoef!$B$6)))+(RemiseCoef!forfait)</f>
        <v>0</v>
      </c>
      <c r="R15" s="138">
        <f>(0*(((1-RemiseCoef!$B$4)*RemiseCoef!$B$6)))+(RemiseCoef!forfait)</f>
        <v>0</v>
      </c>
      <c r="S15" s="138" t="s">
        <v>10</v>
      </c>
      <c r="T15" s="138">
        <f>(0*(((1-RemiseCoef!$B$4)*RemiseCoef!$B$6)))+(RemiseCoef!forfait)</f>
        <v>0</v>
      </c>
      <c r="U15" s="138">
        <f>(0*(((1-RemiseCoef!$B$4)*RemiseCoef!$B$6)))+(RemiseCoef!forfait)</f>
        <v>0</v>
      </c>
      <c r="V15" s="9"/>
      <c r="W15" s="9"/>
      <c r="X15" s="9"/>
    </row>
    <row r="16" spans="1:24" ht="13.5" customHeight="1" x14ac:dyDescent="0.25">
      <c r="A16" s="131" t="s">
        <v>57</v>
      </c>
      <c r="B16" s="131">
        <f>(0*(((1-RemiseCoef!$B$4)*RemiseCoef!$B$6)))+(RemiseCoef!forfait)</f>
        <v>0</v>
      </c>
      <c r="C16" s="131">
        <f>(0*(((1-RemiseCoef!$B$4)*RemiseCoef!$B$6)))+(RemiseCoef!forfait)</f>
        <v>0</v>
      </c>
      <c r="D16" s="131">
        <f>(0*(((1-RemiseCoef!$B$4)*RemiseCoef!$B$6)))+(RemiseCoef!forfait)</f>
        <v>0</v>
      </c>
      <c r="E16" s="131">
        <f>(0*(((1-RemiseCoef!$B$4)*RemiseCoef!$B$6)))+(RemiseCoef!forfait)</f>
        <v>0</v>
      </c>
      <c r="F16" s="131">
        <f>(0*(((1-RemiseCoef!$B$4)*RemiseCoef!$B$6)))+(RemiseCoef!forfait)</f>
        <v>0</v>
      </c>
      <c r="G16" s="131">
        <f>(0*(((1-RemiseCoef!$B$4)*RemiseCoef!$B$6)))+(RemiseCoef!forfait)</f>
        <v>0</v>
      </c>
      <c r="H16" s="131">
        <f>(0*(((1-RemiseCoef!$B$4)*RemiseCoef!$B$6)))+(RemiseCoef!forfait)</f>
        <v>0</v>
      </c>
      <c r="I16" s="131">
        <f>(0*(((1-RemiseCoef!$B$4)*RemiseCoef!$B$6)))+(RemiseCoef!forfait)</f>
        <v>0</v>
      </c>
      <c r="J16" s="138" t="s">
        <v>10</v>
      </c>
      <c r="K16" s="138">
        <f>(0*(((1-RemiseCoef!$B$4)*RemiseCoef!$B$6)))+(RemiseCoef!forfait)</f>
        <v>0</v>
      </c>
      <c r="L16" s="138">
        <f>(0*(((1-RemiseCoef!$B$4)*RemiseCoef!$B$6)))+(RemiseCoef!forfait)</f>
        <v>0</v>
      </c>
      <c r="M16" s="138">
        <f>(0*(((1-RemiseCoef!$B$4)*RemiseCoef!$B$6)))+(RemiseCoef!forfait)</f>
        <v>0</v>
      </c>
      <c r="N16" s="138">
        <f>(0*(((1-RemiseCoef!$B$4)*RemiseCoef!$B$6)))+(RemiseCoef!forfait)</f>
        <v>0</v>
      </c>
      <c r="O16" s="138">
        <f>(0*(((1-RemiseCoef!$B$4)*RemiseCoef!$B$6)))+(RemiseCoef!forfait)</f>
        <v>0</v>
      </c>
      <c r="P16" s="138">
        <f>(92*(((1-RemiseCoef!$B$4)*RemiseCoef!$B$6)))</f>
        <v>92</v>
      </c>
      <c r="Q16" s="138">
        <f>(0*(((1-RemiseCoef!$B$4)*RemiseCoef!$B$6)))+(RemiseCoef!forfait)</f>
        <v>0</v>
      </c>
      <c r="R16" s="138">
        <f>(0*(((1-RemiseCoef!$B$4)*RemiseCoef!$B$6)))+(RemiseCoef!forfait)</f>
        <v>0</v>
      </c>
      <c r="S16" s="138">
        <f>(84*(((1-RemiseCoef!$B$4)*RemiseCoef!$B$6)))</f>
        <v>84</v>
      </c>
      <c r="T16" s="138">
        <f>(0*(((1-RemiseCoef!$B$4)*RemiseCoef!$B$6)))+(RemiseCoef!forfait)</f>
        <v>0</v>
      </c>
      <c r="U16" s="138">
        <f>(0*(((1-RemiseCoef!$B$4)*RemiseCoef!$B$6)))+(RemiseCoef!forfait)</f>
        <v>0</v>
      </c>
      <c r="V16" s="9"/>
      <c r="W16" s="9"/>
      <c r="X16" s="9"/>
    </row>
    <row r="17" spans="1:24" ht="13.5" customHeight="1" x14ac:dyDescent="0.25">
      <c r="A17" s="131" t="s">
        <v>103</v>
      </c>
      <c r="B17" s="131">
        <f>(0*(((1-RemiseCoef!$B$4)*RemiseCoef!$B$6)))+(RemiseCoef!forfait)</f>
        <v>0</v>
      </c>
      <c r="C17" s="131">
        <f>(0*(((1-RemiseCoef!$B$4)*RemiseCoef!$B$6)))+(RemiseCoef!forfait)</f>
        <v>0</v>
      </c>
      <c r="D17" s="131">
        <f>(0*(((1-RemiseCoef!$B$4)*RemiseCoef!$B$6)))+(RemiseCoef!forfait)</f>
        <v>0</v>
      </c>
      <c r="E17" s="131">
        <f>(0*(((1-RemiseCoef!$B$4)*RemiseCoef!$B$6)))+(RemiseCoef!forfait)</f>
        <v>0</v>
      </c>
      <c r="F17" s="131">
        <f>(0*(((1-RemiseCoef!$B$4)*RemiseCoef!$B$6)))+(RemiseCoef!forfait)</f>
        <v>0</v>
      </c>
      <c r="G17" s="131">
        <f>(0*(((1-RemiseCoef!$B$4)*RemiseCoef!$B$6)))+(RemiseCoef!forfait)</f>
        <v>0</v>
      </c>
      <c r="H17" s="131">
        <f>(0*(((1-RemiseCoef!$B$4)*RemiseCoef!$B$6)))+(RemiseCoef!forfait)</f>
        <v>0</v>
      </c>
      <c r="I17" s="131">
        <f>(0*(((1-RemiseCoef!$B$4)*RemiseCoef!$B$6)))+(RemiseCoef!forfait)</f>
        <v>0</v>
      </c>
      <c r="J17" s="138" t="s">
        <v>10</v>
      </c>
      <c r="K17" s="138">
        <f>(0*(((1-RemiseCoef!$B$4)*RemiseCoef!$B$6)))+(RemiseCoef!forfait)</f>
        <v>0</v>
      </c>
      <c r="L17" s="138">
        <f>(0*(((1-RemiseCoef!$B$4)*RemiseCoef!$B$6)))+(RemiseCoef!forfait)</f>
        <v>0</v>
      </c>
      <c r="M17" s="138">
        <f>(48*(((1-RemiseCoef!$B$4)*RemiseCoef!$B$6)))</f>
        <v>48</v>
      </c>
      <c r="N17" s="138">
        <f>(0*(((1-RemiseCoef!$B$4)*RemiseCoef!$B$6)))+(RemiseCoef!forfait)</f>
        <v>0</v>
      </c>
      <c r="O17" s="138">
        <f>(0*(((1-RemiseCoef!$B$4)*RemiseCoef!$B$6)))+(RemiseCoef!forfait)</f>
        <v>0</v>
      </c>
      <c r="P17" s="139" t="s">
        <v>10</v>
      </c>
      <c r="Q17" s="140">
        <f>(0*(((1-RemiseCoef!$B$4)*RemiseCoef!$B$6)))+(RemiseCoef!forfait)</f>
        <v>0</v>
      </c>
      <c r="R17" s="140">
        <f>(0*(((1-RemiseCoef!$B$4)*RemiseCoef!$B$6)))+(RemiseCoef!forfait)</f>
        <v>0</v>
      </c>
      <c r="S17" s="140">
        <f>(0*(((1-RemiseCoef!$B$4)*RemiseCoef!$B$6)))+(RemiseCoef!forfait)</f>
        <v>0</v>
      </c>
      <c r="T17" s="140">
        <f>(0*(((1-RemiseCoef!$B$4)*RemiseCoef!$B$6)))+(RemiseCoef!forfait)</f>
        <v>0</v>
      </c>
      <c r="U17" s="141">
        <f>(0*(((1-RemiseCoef!$B$4)*RemiseCoef!$B$6)))+(RemiseCoef!forfait)</f>
        <v>0</v>
      </c>
      <c r="V17" s="9"/>
      <c r="W17" s="9"/>
      <c r="X17" s="9"/>
    </row>
    <row r="18" spans="1:24" ht="13.5" customHeight="1" x14ac:dyDescent="0.25">
      <c r="A18" s="131" t="s">
        <v>78</v>
      </c>
      <c r="B18" s="131">
        <f>(0*(((1-RemiseCoef!$B$4)*RemiseCoef!$B$6)))+(RemiseCoef!forfait)</f>
        <v>0</v>
      </c>
      <c r="C18" s="131">
        <f>(0*(((1-RemiseCoef!$B$4)*RemiseCoef!$B$6)))+(RemiseCoef!forfait)</f>
        <v>0</v>
      </c>
      <c r="D18" s="131">
        <f>(0*(((1-RemiseCoef!$B$4)*RemiseCoef!$B$6)))+(RemiseCoef!forfait)</f>
        <v>0</v>
      </c>
      <c r="E18" s="131">
        <f>(0*(((1-RemiseCoef!$B$4)*RemiseCoef!$B$6)))+(RemiseCoef!forfait)</f>
        <v>0</v>
      </c>
      <c r="F18" s="131">
        <f>(0*(((1-RemiseCoef!$B$4)*RemiseCoef!$B$6)))+(RemiseCoef!forfait)</f>
        <v>0</v>
      </c>
      <c r="G18" s="131">
        <f>(0*(((1-RemiseCoef!$B$4)*RemiseCoef!$B$6)))+(RemiseCoef!forfait)</f>
        <v>0</v>
      </c>
      <c r="H18" s="131">
        <f>(0*(((1-RemiseCoef!$B$4)*RemiseCoef!$B$6)))+(RemiseCoef!forfait)</f>
        <v>0</v>
      </c>
      <c r="I18" s="131">
        <f>(0*(((1-RemiseCoef!$B$4)*RemiseCoef!$B$6)))+(RemiseCoef!forfait)</f>
        <v>0</v>
      </c>
      <c r="J18" s="138">
        <f>(77*(((1-RemiseCoef!$B$4)*RemiseCoef!$B$6)))+(RemiseCoef!forfait)</f>
        <v>77</v>
      </c>
      <c r="K18" s="138">
        <f>(0*(((1-RemiseCoef!$B$4)*RemiseCoef!$B$6)))+(RemiseCoef!forfait)</f>
        <v>0</v>
      </c>
      <c r="L18" s="138">
        <f>(0*(((1-RemiseCoef!$B$4)*RemiseCoef!$B$6)))+(RemiseCoef!forfait)</f>
        <v>0</v>
      </c>
      <c r="M18" s="138" t="s">
        <v>10</v>
      </c>
      <c r="N18" s="138">
        <f>(0*(((1-RemiseCoef!$B$4)*RemiseCoef!$B$6)))+(RemiseCoef!forfait)</f>
        <v>0</v>
      </c>
      <c r="O18" s="138">
        <f>(0*(((1-RemiseCoef!$B$4)*RemiseCoef!$B$6)))+(RemiseCoef!forfait)</f>
        <v>0</v>
      </c>
      <c r="P18" s="138">
        <f>(0*(((1-RemiseCoef!$B$4)*RemiseCoef!$B$6)))+(RemiseCoef!forfait)</f>
        <v>0</v>
      </c>
      <c r="Q18" s="138">
        <f>(0*(((1-RemiseCoef!$B$4)*RemiseCoef!$B$6)))+(RemiseCoef!forfait)</f>
        <v>0</v>
      </c>
      <c r="R18" s="138">
        <f>(0*(((1-RemiseCoef!$B$4)*RemiseCoef!$B$6)))+(RemiseCoef!forfait)</f>
        <v>0</v>
      </c>
      <c r="S18" s="138">
        <f>(0*(((1-RemiseCoef!$B$4)*RemiseCoef!$B$6)))+(RemiseCoef!forfait)</f>
        <v>0</v>
      </c>
      <c r="T18" s="138">
        <f>(0*(((1-RemiseCoef!$B$4)*RemiseCoef!$B$6)))+(RemiseCoef!forfait)</f>
        <v>0</v>
      </c>
      <c r="U18" s="138">
        <f>(0*(((1-RemiseCoef!$B$4)*RemiseCoef!$B$6)))+(RemiseCoef!forfait)</f>
        <v>0</v>
      </c>
      <c r="V18" s="9"/>
      <c r="W18" s="9"/>
      <c r="X18" s="9"/>
    </row>
    <row r="19" spans="1:24" ht="24.75" customHeight="1" x14ac:dyDescent="0.25">
      <c r="A19" s="142" t="s">
        <v>100</v>
      </c>
      <c r="B19" s="142">
        <f>(0*(((1-RemiseCoef!$B$4)*RemiseCoef!$B$6)))+(RemiseCoef!forfait)</f>
        <v>0</v>
      </c>
      <c r="C19" s="142">
        <f>(0*(((1-RemiseCoef!$B$4)*RemiseCoef!$B$6)))+(RemiseCoef!forfait)</f>
        <v>0</v>
      </c>
      <c r="D19" s="142">
        <f>(0*(((1-RemiseCoef!$B$4)*RemiseCoef!$B$6)))+(RemiseCoef!forfait)</f>
        <v>0</v>
      </c>
      <c r="E19" s="142">
        <f>(0*(((1-RemiseCoef!$B$4)*RemiseCoef!$B$6)))+(RemiseCoef!forfait)</f>
        <v>0</v>
      </c>
      <c r="F19" s="142">
        <f>(0*(((1-RemiseCoef!$B$4)*RemiseCoef!$B$6)))+(RemiseCoef!forfait)</f>
        <v>0</v>
      </c>
      <c r="G19" s="142">
        <f>(0*(((1-RemiseCoef!$B$4)*RemiseCoef!$B$6)))+(RemiseCoef!forfait)</f>
        <v>0</v>
      </c>
      <c r="H19" s="142">
        <f>(0*(((1-RemiseCoef!$B$4)*RemiseCoef!$B$6)))+(RemiseCoef!forfait)</f>
        <v>0</v>
      </c>
      <c r="I19" s="142">
        <f>(0*(((1-RemiseCoef!$B$4)*RemiseCoef!$B$6)))+(RemiseCoef!forfait)</f>
        <v>0</v>
      </c>
      <c r="J19" s="138" t="s">
        <v>10</v>
      </c>
      <c r="K19" s="138">
        <f>(0*(((1-RemiseCoef!$B$4)*RemiseCoef!$B$6)))+(RemiseCoef!forfait)</f>
        <v>0</v>
      </c>
      <c r="L19" s="138">
        <f>(0*(((1-RemiseCoef!$B$4)*RemiseCoef!$B$6)))+(RemiseCoef!forfait)</f>
        <v>0</v>
      </c>
      <c r="M19" s="138">
        <f>(100*(((1-RemiseCoef!$B$4)*RemiseCoef!$B$6)))</f>
        <v>100</v>
      </c>
      <c r="N19" s="138">
        <f>(0*(((1-RemiseCoef!$B$4)*RemiseCoef!$B$6)))+(RemiseCoef!forfait)</f>
        <v>0</v>
      </c>
      <c r="O19" s="138">
        <f>(0*(((1-RemiseCoef!$B$4)*RemiseCoef!$B$6)))+(RemiseCoef!forfait)</f>
        <v>0</v>
      </c>
      <c r="P19" s="138">
        <f>(188*(((1-RemiseCoef!$B$4)*RemiseCoef!$B$6)))</f>
        <v>188</v>
      </c>
      <c r="Q19" s="138">
        <f>(0*(((1-RemiseCoef!$B$4)*RemiseCoef!$B$6)))+(RemiseCoef!forfait)</f>
        <v>0</v>
      </c>
      <c r="R19" s="138">
        <f>(0*(((1-RemiseCoef!$B$4)*RemiseCoef!$B$6)))+(RemiseCoef!forfait)</f>
        <v>0</v>
      </c>
      <c r="S19" s="138">
        <f>(357*(((1-RemiseCoef!$B$4)*RemiseCoef!$B$6)))</f>
        <v>357</v>
      </c>
      <c r="T19" s="138">
        <f>(0*(((1-RemiseCoef!$B$4)*RemiseCoef!$B$6)))+(RemiseCoef!forfait)</f>
        <v>0</v>
      </c>
      <c r="U19" s="138">
        <f>(0*(((1-RemiseCoef!$B$4)*RemiseCoef!$B$6)))+(RemiseCoef!forfait)</f>
        <v>0</v>
      </c>
      <c r="V19" s="9"/>
      <c r="W19" s="9"/>
      <c r="X19" s="9"/>
    </row>
    <row r="20" spans="1:24" ht="13.5" customHeight="1" x14ac:dyDescent="0.25">
      <c r="A20" s="131" t="s">
        <v>84</v>
      </c>
      <c r="B20" s="131">
        <f>(0*(((1-RemiseCoef!$B$4)*RemiseCoef!$B$6)))+(RemiseCoef!forfait)</f>
        <v>0</v>
      </c>
      <c r="C20" s="131">
        <f>(0*(((1-RemiseCoef!$B$4)*RemiseCoef!$B$6)))+(RemiseCoef!forfait)</f>
        <v>0</v>
      </c>
      <c r="D20" s="131">
        <f>(0*(((1-RemiseCoef!$B$4)*RemiseCoef!$B$6)))+(RemiseCoef!forfait)</f>
        <v>0</v>
      </c>
      <c r="E20" s="131">
        <f>(0*(((1-RemiseCoef!$B$4)*RemiseCoef!$B$6)))+(RemiseCoef!forfait)</f>
        <v>0</v>
      </c>
      <c r="F20" s="131">
        <f>(0*(((1-RemiseCoef!$B$4)*RemiseCoef!$B$6)))+(RemiseCoef!forfait)</f>
        <v>0</v>
      </c>
      <c r="G20" s="131">
        <f>(0*(((1-RemiseCoef!$B$4)*RemiseCoef!$B$6)))+(RemiseCoef!forfait)</f>
        <v>0</v>
      </c>
      <c r="H20" s="131">
        <f>(0*(((1-RemiseCoef!$B$4)*RemiseCoef!$B$6)))+(RemiseCoef!forfait)</f>
        <v>0</v>
      </c>
      <c r="I20" s="131">
        <f>(0*(((1-RemiseCoef!$B$4)*RemiseCoef!$B$6)))+(RemiseCoef!forfait)</f>
        <v>0</v>
      </c>
      <c r="J20" s="139">
        <f>(60*(((1-RemiseCoef!$B$4)*RemiseCoef!$B$6)))</f>
        <v>60</v>
      </c>
      <c r="K20" s="140">
        <f>(0*(((1-RemiseCoef!$B$4)*RemiseCoef!$B$6)))+(RemiseCoef!forfait)</f>
        <v>0</v>
      </c>
      <c r="L20" s="140">
        <f>(0*(((1-RemiseCoef!$B$4)*RemiseCoef!$B$6)))+(RemiseCoef!forfait)</f>
        <v>0</v>
      </c>
      <c r="M20" s="140">
        <f>(0*(((1-RemiseCoef!$B$4)*RemiseCoef!$B$6)))+(RemiseCoef!forfait)</f>
        <v>0</v>
      </c>
      <c r="N20" s="140">
        <f>(0*(((1-RemiseCoef!$B$4)*RemiseCoef!$B$6)))+(RemiseCoef!forfait)</f>
        <v>0</v>
      </c>
      <c r="O20" s="140">
        <f>(0*(((1-RemiseCoef!$B$4)*RemiseCoef!$B$6)))+(RemiseCoef!forfait)</f>
        <v>0</v>
      </c>
      <c r="P20" s="140">
        <f>(0*(((1-RemiseCoef!$B$4)*RemiseCoef!$B$6)))+(RemiseCoef!forfait)</f>
        <v>0</v>
      </c>
      <c r="Q20" s="140">
        <f>(0*(((1-RemiseCoef!$B$4)*RemiseCoef!$B$6)))+(RemiseCoef!forfait)</f>
        <v>0</v>
      </c>
      <c r="R20" s="140">
        <f>(0*(((1-RemiseCoef!$B$4)*RemiseCoef!$B$6)))+(RemiseCoef!forfait)</f>
        <v>0</v>
      </c>
      <c r="S20" s="140">
        <f>(0*(((1-RemiseCoef!$B$4)*RemiseCoef!$B$6)))+(RemiseCoef!forfait)</f>
        <v>0</v>
      </c>
      <c r="T20" s="140">
        <f>(0*(((1-RemiseCoef!$B$4)*RemiseCoef!$B$6)))+(RemiseCoef!forfait)</f>
        <v>0</v>
      </c>
      <c r="U20" s="141">
        <f>(0*(((1-RemiseCoef!$B$4)*RemiseCoef!$B$6)))+(RemiseCoef!forfait)</f>
        <v>0</v>
      </c>
      <c r="V20" s="9"/>
      <c r="W20" s="9"/>
      <c r="X20" s="9"/>
    </row>
    <row r="21" spans="1:24" ht="13.5" customHeight="1" x14ac:dyDescent="0.25">
      <c r="A21" s="131" t="s">
        <v>59</v>
      </c>
      <c r="B21" s="131">
        <f>(0*(((1-RemiseCoef!$B$4)*RemiseCoef!$B$6)))+(RemiseCoef!forfait)</f>
        <v>0</v>
      </c>
      <c r="C21" s="131">
        <f>(0*(((1-RemiseCoef!$B$4)*RemiseCoef!$B$6)))+(RemiseCoef!forfait)</f>
        <v>0</v>
      </c>
      <c r="D21" s="131">
        <f>(0*(((1-RemiseCoef!$B$4)*RemiseCoef!$B$6)))+(RemiseCoef!forfait)</f>
        <v>0</v>
      </c>
      <c r="E21" s="131">
        <f>(0*(((1-RemiseCoef!$B$4)*RemiseCoef!$B$6)))+(RemiseCoef!forfait)</f>
        <v>0</v>
      </c>
      <c r="F21" s="131">
        <f>(0*(((1-RemiseCoef!$B$4)*RemiseCoef!$B$6)))+(RemiseCoef!forfait)</f>
        <v>0</v>
      </c>
      <c r="G21" s="131">
        <f>(0*(((1-RemiseCoef!$B$4)*RemiseCoef!$B$6)))+(RemiseCoef!forfait)</f>
        <v>0</v>
      </c>
      <c r="H21" s="131">
        <f>(0*(((1-RemiseCoef!$B$4)*RemiseCoef!$B$6)))+(RemiseCoef!forfait)</f>
        <v>0</v>
      </c>
      <c r="I21" s="131">
        <f>(0*(((1-RemiseCoef!$B$4)*RemiseCoef!$B$6)))+(RemiseCoef!forfait)</f>
        <v>0</v>
      </c>
      <c r="J21" s="139">
        <f>(158*(((1-RemiseCoef!$B$4)*RemiseCoef!$B$6)))</f>
        <v>158</v>
      </c>
      <c r="K21" s="140">
        <f>(0*(((1-RemiseCoef!$B$4)*RemiseCoef!$B$6)))+(RemiseCoef!forfait)</f>
        <v>0</v>
      </c>
      <c r="L21" s="140">
        <f>(0*(((1-RemiseCoef!$B$4)*RemiseCoef!$B$6)))+(RemiseCoef!forfait)</f>
        <v>0</v>
      </c>
      <c r="M21" s="140">
        <f>(0*(((1-RemiseCoef!$B$4)*RemiseCoef!$B$6)))+(RemiseCoef!forfait)</f>
        <v>0</v>
      </c>
      <c r="N21" s="140">
        <f>(0*(((1-RemiseCoef!$B$4)*RemiseCoef!$B$6)))+(RemiseCoef!forfait)</f>
        <v>0</v>
      </c>
      <c r="O21" s="140">
        <f>(0*(((1-RemiseCoef!$B$4)*RemiseCoef!$B$6)))+(RemiseCoef!forfait)</f>
        <v>0</v>
      </c>
      <c r="P21" s="140">
        <f>(0*(((1-RemiseCoef!$B$4)*RemiseCoef!$B$6)))+(RemiseCoef!forfait)</f>
        <v>0</v>
      </c>
      <c r="Q21" s="140">
        <f>(0*(((1-RemiseCoef!$B$4)*RemiseCoef!$B$6)))+(RemiseCoef!forfait)</f>
        <v>0</v>
      </c>
      <c r="R21" s="140">
        <f>(0*(((1-RemiseCoef!$B$4)*RemiseCoef!$B$6)))+(RemiseCoef!forfait)</f>
        <v>0</v>
      </c>
      <c r="S21" s="140">
        <f>(0*(((1-RemiseCoef!$B$4)*RemiseCoef!$B$6)))+(RemiseCoef!forfait)</f>
        <v>0</v>
      </c>
      <c r="T21" s="140">
        <f>(0*(((1-RemiseCoef!$B$4)*RemiseCoef!$B$6)))+(RemiseCoef!forfait)</f>
        <v>0</v>
      </c>
      <c r="U21" s="141">
        <f>(0*(((1-RemiseCoef!$B$4)*RemiseCoef!$B$6)))+(RemiseCoef!forfait)</f>
        <v>0</v>
      </c>
      <c r="V21" s="9"/>
      <c r="W21" s="9"/>
      <c r="X21" s="9"/>
    </row>
    <row r="22" spans="1:24" ht="13.5" customHeight="1" x14ac:dyDescent="0.25">
      <c r="A22" s="131" t="s">
        <v>60</v>
      </c>
      <c r="B22" s="131">
        <f>(0*(((1-RemiseCoef!$B$4)*RemiseCoef!$B$6)))+(RemiseCoef!forfait)</f>
        <v>0</v>
      </c>
      <c r="C22" s="131">
        <f>(0*(((1-RemiseCoef!$B$4)*RemiseCoef!$B$6)))+(RemiseCoef!forfait)</f>
        <v>0</v>
      </c>
      <c r="D22" s="131">
        <f>(0*(((1-RemiseCoef!$B$4)*RemiseCoef!$B$6)))+(RemiseCoef!forfait)</f>
        <v>0</v>
      </c>
      <c r="E22" s="131">
        <f>(0*(((1-RemiseCoef!$B$4)*RemiseCoef!$B$6)))+(RemiseCoef!forfait)</f>
        <v>0</v>
      </c>
      <c r="F22" s="131">
        <f>(0*(((1-RemiseCoef!$B$4)*RemiseCoef!$B$6)))+(RemiseCoef!forfait)</f>
        <v>0</v>
      </c>
      <c r="G22" s="131">
        <f>(0*(((1-RemiseCoef!$B$4)*RemiseCoef!$B$6)))+(RemiseCoef!forfait)</f>
        <v>0</v>
      </c>
      <c r="H22" s="131">
        <f>(0*(((1-RemiseCoef!$B$4)*RemiseCoef!$B$6)))+(RemiseCoef!forfait)</f>
        <v>0</v>
      </c>
      <c r="I22" s="131">
        <f>(0*(((1-RemiseCoef!$B$4)*RemiseCoef!$B$6)))+(RemiseCoef!forfait)</f>
        <v>0</v>
      </c>
      <c r="J22" s="139">
        <f>(228*(((1-RemiseCoef!$B$4)*RemiseCoef!$B$6)))</f>
        <v>228</v>
      </c>
      <c r="K22" s="140">
        <f>(0*(((1-RemiseCoef!$B$4)*RemiseCoef!$B$6)))+(RemiseCoef!forfait)</f>
        <v>0</v>
      </c>
      <c r="L22" s="140">
        <f>(0*(((1-RemiseCoef!$B$4)*RemiseCoef!$B$6)))+(RemiseCoef!forfait)</f>
        <v>0</v>
      </c>
      <c r="M22" s="140">
        <f>(0*(((1-RemiseCoef!$B$4)*RemiseCoef!$B$6)))+(RemiseCoef!forfait)</f>
        <v>0</v>
      </c>
      <c r="N22" s="140">
        <f>(0*(((1-RemiseCoef!$B$4)*RemiseCoef!$B$6)))+(RemiseCoef!forfait)</f>
        <v>0</v>
      </c>
      <c r="O22" s="140">
        <f>(0*(((1-RemiseCoef!$B$4)*RemiseCoef!$B$6)))+(RemiseCoef!forfait)</f>
        <v>0</v>
      </c>
      <c r="P22" s="140">
        <f>(0*(((1-RemiseCoef!$B$4)*RemiseCoef!$B$6)))+(RemiseCoef!forfait)</f>
        <v>0</v>
      </c>
      <c r="Q22" s="140">
        <f>(0*(((1-RemiseCoef!$B$4)*RemiseCoef!$B$6)))+(RemiseCoef!forfait)</f>
        <v>0</v>
      </c>
      <c r="R22" s="140">
        <f>(0*(((1-RemiseCoef!$B$4)*RemiseCoef!$B$6)))+(RemiseCoef!forfait)</f>
        <v>0</v>
      </c>
      <c r="S22" s="140">
        <f>(0*(((1-RemiseCoef!$B$4)*RemiseCoef!$B$6)))+(RemiseCoef!forfait)</f>
        <v>0</v>
      </c>
      <c r="T22" s="140">
        <f>(0*(((1-RemiseCoef!$B$4)*RemiseCoef!$B$6)))+(RemiseCoef!forfait)</f>
        <v>0</v>
      </c>
      <c r="U22" s="141">
        <f>(0*(((1-RemiseCoef!$B$4)*RemiseCoef!$B$6)))+(RemiseCoef!forfait)</f>
        <v>0</v>
      </c>
      <c r="V22" s="9"/>
      <c r="W22" s="9"/>
      <c r="X22" s="9"/>
    </row>
    <row r="23" spans="1:24" ht="13.5" customHeight="1" x14ac:dyDescent="0.25">
      <c r="A23" s="131" t="s">
        <v>61</v>
      </c>
      <c r="B23" s="131">
        <f>(0*(((1-RemiseCoef!$B$4)*RemiseCoef!$B$6)))+(RemiseCoef!forfait)</f>
        <v>0</v>
      </c>
      <c r="C23" s="131">
        <f>(0*(((1-RemiseCoef!$B$4)*RemiseCoef!$B$6)))+(RemiseCoef!forfait)</f>
        <v>0</v>
      </c>
      <c r="D23" s="131">
        <f>(0*(((1-RemiseCoef!$B$4)*RemiseCoef!$B$6)))+(RemiseCoef!forfait)</f>
        <v>0</v>
      </c>
      <c r="E23" s="131">
        <f>(0*(((1-RemiseCoef!$B$4)*RemiseCoef!$B$6)))+(RemiseCoef!forfait)</f>
        <v>0</v>
      </c>
      <c r="F23" s="131">
        <f>(0*(((1-RemiseCoef!$B$4)*RemiseCoef!$B$6)))+(RemiseCoef!forfait)</f>
        <v>0</v>
      </c>
      <c r="G23" s="131">
        <f>(0*(((1-RemiseCoef!$B$4)*RemiseCoef!$B$6)))+(RemiseCoef!forfait)</f>
        <v>0</v>
      </c>
      <c r="H23" s="131">
        <f>(0*(((1-RemiseCoef!$B$4)*RemiseCoef!$B$6)))+(RemiseCoef!forfait)</f>
        <v>0</v>
      </c>
      <c r="I23" s="131">
        <f>(0*(((1-RemiseCoef!$B$4)*RemiseCoef!$B$6)))+(RemiseCoef!forfait)</f>
        <v>0</v>
      </c>
      <c r="J23" s="139">
        <f>(228*(((1-RemiseCoef!$B$4)*RemiseCoef!$B$6)))</f>
        <v>228</v>
      </c>
      <c r="K23" s="140">
        <f>(0*(((1-RemiseCoef!$B$4)*RemiseCoef!$B$6)))+(RemiseCoef!forfait)</f>
        <v>0</v>
      </c>
      <c r="L23" s="140">
        <f>(0*(((1-RemiseCoef!$B$4)*RemiseCoef!$B$6)))+(RemiseCoef!forfait)</f>
        <v>0</v>
      </c>
      <c r="M23" s="140">
        <f>(0*(((1-RemiseCoef!$B$4)*RemiseCoef!$B$6)))+(RemiseCoef!forfait)</f>
        <v>0</v>
      </c>
      <c r="N23" s="140">
        <f>(0*(((1-RemiseCoef!$B$4)*RemiseCoef!$B$6)))+(RemiseCoef!forfait)</f>
        <v>0</v>
      </c>
      <c r="O23" s="140">
        <f>(0*(((1-RemiseCoef!$B$4)*RemiseCoef!$B$6)))+(RemiseCoef!forfait)</f>
        <v>0</v>
      </c>
      <c r="P23" s="140">
        <f>(0*(((1-RemiseCoef!$B$4)*RemiseCoef!$B$6)))+(RemiseCoef!forfait)</f>
        <v>0</v>
      </c>
      <c r="Q23" s="140">
        <f>(0*(((1-RemiseCoef!$B$4)*RemiseCoef!$B$6)))+(RemiseCoef!forfait)</f>
        <v>0</v>
      </c>
      <c r="R23" s="140">
        <f>(0*(((1-RemiseCoef!$B$4)*RemiseCoef!$B$6)))+(RemiseCoef!forfait)</f>
        <v>0</v>
      </c>
      <c r="S23" s="140">
        <f>(0*(((1-RemiseCoef!$B$4)*RemiseCoef!$B$6)))+(RemiseCoef!forfait)</f>
        <v>0</v>
      </c>
      <c r="T23" s="140">
        <f>(0*(((1-RemiseCoef!$B$4)*RemiseCoef!$B$6)))+(RemiseCoef!forfait)</f>
        <v>0</v>
      </c>
      <c r="U23" s="141">
        <f>(0*(((1-RemiseCoef!$B$4)*RemiseCoef!$B$6)))+(RemiseCoef!forfait)</f>
        <v>0</v>
      </c>
      <c r="V23" s="9"/>
      <c r="W23" s="9"/>
      <c r="X23" s="9"/>
    </row>
    <row r="24" spans="1:24" ht="11.25" customHeight="1" x14ac:dyDescent="0.25">
      <c r="A24" s="57" t="s">
        <v>72</v>
      </c>
      <c r="B24" s="9"/>
      <c r="C24" s="9"/>
      <c r="D24" s="9"/>
      <c r="E24" s="9"/>
      <c r="F24" s="9"/>
      <c r="G24" s="9"/>
      <c r="H24" s="9"/>
      <c r="I24" s="9"/>
      <c r="J24" s="9"/>
      <c r="K24" s="9"/>
      <c r="L24" s="9"/>
      <c r="M24" s="9"/>
      <c r="N24" s="9"/>
      <c r="O24" s="9"/>
      <c r="P24" s="9"/>
      <c r="Q24" s="9"/>
      <c r="R24" s="9"/>
      <c r="S24" s="9"/>
      <c r="T24" s="9"/>
      <c r="U24" s="9"/>
      <c r="V24" s="9"/>
      <c r="W24" s="9"/>
      <c r="X24" s="9"/>
    </row>
    <row r="25" spans="1:24" ht="11.25" customHeight="1" x14ac:dyDescent="0.25">
      <c r="A25" s="57"/>
      <c r="B25" s="9"/>
      <c r="C25" s="9"/>
      <c r="D25" s="9"/>
      <c r="E25" s="9"/>
      <c r="F25" s="9"/>
      <c r="G25" s="9"/>
      <c r="H25" s="9"/>
      <c r="I25" s="9"/>
      <c r="J25" s="9"/>
      <c r="K25" s="9"/>
      <c r="L25" s="9"/>
      <c r="M25" s="9"/>
      <c r="N25" s="9"/>
      <c r="O25" s="9"/>
      <c r="P25" s="9"/>
      <c r="Q25" s="9"/>
      <c r="R25" s="9"/>
      <c r="S25" s="9"/>
      <c r="T25" s="9"/>
      <c r="U25" s="9"/>
      <c r="V25" s="9"/>
      <c r="W25" s="9"/>
      <c r="X25" s="9"/>
    </row>
    <row r="26" spans="1:24" ht="20.25" customHeight="1" x14ac:dyDescent="0.35">
      <c r="A26" s="58" t="s">
        <v>86</v>
      </c>
      <c r="B26" s="8"/>
      <c r="C26" s="8"/>
      <c r="D26" s="8"/>
      <c r="E26" s="8"/>
      <c r="F26" s="8"/>
      <c r="G26" s="8"/>
      <c r="H26" s="8"/>
      <c r="I26" s="8"/>
      <c r="J26" s="8"/>
      <c r="K26" s="8"/>
      <c r="L26" s="59"/>
      <c r="M26" s="8"/>
      <c r="N26" s="8"/>
      <c r="O26" s="8"/>
      <c r="P26" s="8"/>
      <c r="Q26" s="8"/>
      <c r="R26" s="8"/>
      <c r="S26" s="8"/>
      <c r="T26" s="8"/>
      <c r="U26" s="8"/>
      <c r="V26" s="9"/>
      <c r="W26" s="9"/>
      <c r="X26" s="9"/>
    </row>
    <row r="27" spans="1:24" ht="12.75" customHeight="1" x14ac:dyDescent="0.25">
      <c r="A27" s="157" t="s">
        <v>69</v>
      </c>
      <c r="B27" s="157"/>
      <c r="C27" s="157"/>
      <c r="D27" s="157"/>
      <c r="E27" s="157"/>
      <c r="F27" s="157"/>
      <c r="G27" s="157"/>
      <c r="H27" s="157"/>
      <c r="I27" s="157"/>
      <c r="J27" s="157"/>
      <c r="K27" s="157"/>
      <c r="L27" s="157"/>
      <c r="M27" s="144" t="s">
        <v>87</v>
      </c>
      <c r="N27" s="145"/>
      <c r="O27" s="145"/>
      <c r="P27" s="146"/>
      <c r="Q27" s="144" t="s">
        <v>88</v>
      </c>
      <c r="R27" s="145"/>
      <c r="S27" s="145"/>
      <c r="T27" s="146"/>
      <c r="U27" s="9"/>
      <c r="V27" s="9"/>
      <c r="W27" s="9"/>
      <c r="X27" s="9"/>
    </row>
    <row r="28" spans="1:24" ht="12.75" customHeight="1" x14ac:dyDescent="0.25">
      <c r="A28" s="158"/>
      <c r="B28" s="158"/>
      <c r="C28" s="158"/>
      <c r="D28" s="158"/>
      <c r="E28" s="158"/>
      <c r="F28" s="158"/>
      <c r="G28" s="158"/>
      <c r="H28" s="158"/>
      <c r="I28" s="158"/>
      <c r="J28" s="158"/>
      <c r="K28" s="158"/>
      <c r="L28" s="158"/>
      <c r="M28" s="147"/>
      <c r="N28" s="148"/>
      <c r="O28" s="148"/>
      <c r="P28" s="149"/>
      <c r="Q28" s="147"/>
      <c r="R28" s="148"/>
      <c r="S28" s="148"/>
      <c r="T28" s="149"/>
      <c r="U28" s="9"/>
      <c r="V28" s="9"/>
      <c r="W28" s="9"/>
      <c r="X28" s="9"/>
    </row>
    <row r="29" spans="1:24" ht="13.5" customHeight="1" x14ac:dyDescent="0.25">
      <c r="A29" s="131" t="s">
        <v>102</v>
      </c>
      <c r="B29" s="131"/>
      <c r="C29" s="131"/>
      <c r="D29" s="131"/>
      <c r="E29" s="131"/>
      <c r="F29" s="131"/>
      <c r="G29" s="131"/>
      <c r="H29" s="131"/>
      <c r="I29" s="131"/>
      <c r="J29" s="131"/>
      <c r="K29" s="131"/>
      <c r="L29" s="131"/>
      <c r="M29" s="132">
        <f>(10*(((1-RemiseCoef!$B$4)*RemiseCoef!$B$6)))</f>
        <v>10</v>
      </c>
      <c r="N29" s="133">
        <f>(0*(((1-RemiseCoef!$B$4)*RemiseCoef!$B$6)))+(RemiseCoef!forfait)</f>
        <v>0</v>
      </c>
      <c r="O29" s="133">
        <f>(0*(((1-RemiseCoef!$B$4)*RemiseCoef!$B$6)))+(RemiseCoef!forfait)</f>
        <v>0</v>
      </c>
      <c r="P29" s="134">
        <f>(0*(((1-RemiseCoef!$B$4)*RemiseCoef!$B$6)))+(RemiseCoef!forfait)</f>
        <v>0</v>
      </c>
      <c r="Q29" s="135" t="s">
        <v>10</v>
      </c>
      <c r="R29" s="136">
        <f>(0*(((1-RemiseCoef!$B$4)*RemiseCoef!$B$6)))+(RemiseCoef!forfait)</f>
        <v>0</v>
      </c>
      <c r="S29" s="136">
        <f>(0*(((1-RemiseCoef!$B$4)*RemiseCoef!$B$6)))+(RemiseCoef!forfait)</f>
        <v>0</v>
      </c>
      <c r="T29" s="137">
        <f>(0*(((1-RemiseCoef!$B$4)*RemiseCoef!$B$6)))+(RemiseCoef!forfait)</f>
        <v>0</v>
      </c>
      <c r="U29" s="9"/>
      <c r="V29" s="9"/>
      <c r="W29" s="9"/>
      <c r="X29" s="9"/>
    </row>
    <row r="30" spans="1:24" ht="13.5" customHeight="1" x14ac:dyDescent="0.25">
      <c r="A30" s="131" t="s">
        <v>12</v>
      </c>
      <c r="B30" s="131"/>
      <c r="C30" s="131"/>
      <c r="D30" s="131"/>
      <c r="E30" s="131"/>
      <c r="F30" s="131"/>
      <c r="G30" s="131"/>
      <c r="H30" s="131"/>
      <c r="I30" s="131"/>
      <c r="J30" s="131"/>
      <c r="K30" s="131"/>
      <c r="L30" s="131"/>
      <c r="M30" s="143">
        <f>(-136*(((1-RemiseCoef!$B$4)*RemiseCoef!$B$6)))</f>
        <v>-136</v>
      </c>
      <c r="N30" s="143">
        <f>(0*(((1-RemiseCoef!$B$4)*RemiseCoef!$B$6)))+(RemiseCoef!forfait)</f>
        <v>0</v>
      </c>
      <c r="O30" s="143">
        <f>(0*(((1-RemiseCoef!$B$4)*RemiseCoef!$B$6)))+(RemiseCoef!forfait)</f>
        <v>0</v>
      </c>
      <c r="P30" s="143">
        <f>(0*(((1-RemiseCoef!$B$4)*RemiseCoef!$B$6)))+(RemiseCoef!forfait)</f>
        <v>0</v>
      </c>
      <c r="Q30" s="143">
        <f>(0*(((1-RemiseCoef!$B$4)*RemiseCoef!$B$6)))+(RemiseCoef!forfait)</f>
        <v>0</v>
      </c>
      <c r="R30" s="143">
        <f>(0*(((1-RemiseCoef!$B$4)*RemiseCoef!$B$6)))+(RemiseCoef!forfait)</f>
        <v>0</v>
      </c>
      <c r="S30" s="143">
        <f>(0*(((1-RemiseCoef!$B$4)*RemiseCoef!$B$6)))+(RemiseCoef!forfait)</f>
        <v>0</v>
      </c>
      <c r="T30" s="143">
        <f>(0*(((1-RemiseCoef!$B$4)*RemiseCoef!$B$6)))+(RemiseCoef!forfait)</f>
        <v>0</v>
      </c>
      <c r="U30" s="9"/>
      <c r="V30" s="9"/>
      <c r="W30" s="9"/>
      <c r="X30" s="9"/>
    </row>
    <row r="31" spans="1:24" ht="13.5" customHeight="1" x14ac:dyDescent="0.25">
      <c r="A31" s="131" t="s">
        <v>23</v>
      </c>
      <c r="B31" s="131"/>
      <c r="C31" s="131"/>
      <c r="D31" s="131"/>
      <c r="E31" s="131"/>
      <c r="F31" s="131"/>
      <c r="G31" s="131"/>
      <c r="H31" s="131"/>
      <c r="I31" s="131"/>
      <c r="J31" s="131"/>
      <c r="K31" s="131"/>
      <c r="L31" s="131"/>
      <c r="M31" s="143">
        <f>(144*(((1-RemiseCoef!$B$4)*RemiseCoef!$B$6)))</f>
        <v>144</v>
      </c>
      <c r="N31" s="143">
        <f>(0*(((1-RemiseCoef!$B$4)*RemiseCoef!$B$6)))+(RemiseCoef!forfait)</f>
        <v>0</v>
      </c>
      <c r="O31" s="143">
        <f>(0*(((1-RemiseCoef!$B$4)*RemiseCoef!$B$6)))+(RemiseCoef!forfait)</f>
        <v>0</v>
      </c>
      <c r="P31" s="143">
        <f>(0*(((1-RemiseCoef!$B$4)*RemiseCoef!$B$6)))+(RemiseCoef!forfait)</f>
        <v>0</v>
      </c>
      <c r="Q31" s="143">
        <f>(0*(((1-RemiseCoef!$B$4)*RemiseCoef!$B$6)))+(RemiseCoef!forfait)</f>
        <v>0</v>
      </c>
      <c r="R31" s="143">
        <f>(0*(((1-RemiseCoef!$B$4)*RemiseCoef!$B$6)))+(RemiseCoef!forfait)</f>
        <v>0</v>
      </c>
      <c r="S31" s="143">
        <f>(0*(((1-RemiseCoef!$B$4)*RemiseCoef!$B$6)))+(RemiseCoef!forfait)</f>
        <v>0</v>
      </c>
      <c r="T31" s="143">
        <f>(0*(((1-RemiseCoef!$B$4)*RemiseCoef!$B$6)))+(RemiseCoef!forfait)</f>
        <v>0</v>
      </c>
      <c r="U31" s="9"/>
      <c r="V31" s="9"/>
      <c r="W31" s="9"/>
      <c r="X31" s="9"/>
    </row>
    <row r="32" spans="1:24" ht="13.5" customHeight="1" x14ac:dyDescent="0.25">
      <c r="A32" s="131" t="s">
        <v>107</v>
      </c>
      <c r="B32" s="131"/>
      <c r="C32" s="131"/>
      <c r="D32" s="131"/>
      <c r="E32" s="131"/>
      <c r="F32" s="131"/>
      <c r="G32" s="131"/>
      <c r="H32" s="131"/>
      <c r="I32" s="131"/>
      <c r="J32" s="131"/>
      <c r="K32" s="131"/>
      <c r="L32" s="131"/>
      <c r="M32" s="143">
        <f>(229*(((1-RemiseCoef!$B$4)*RemiseCoef!$B$6)))</f>
        <v>229</v>
      </c>
      <c r="N32" s="143">
        <f>(0*(((1-RemiseCoef!$B$4)*RemiseCoef!$B$6)))+(RemiseCoef!forfait)</f>
        <v>0</v>
      </c>
      <c r="O32" s="143">
        <f>(0*(((1-RemiseCoef!$B$4)*RemiseCoef!$B$6)))+(RemiseCoef!forfait)</f>
        <v>0</v>
      </c>
      <c r="P32" s="143">
        <f>(0*(((1-RemiseCoef!$B$4)*RemiseCoef!$B$6)))+(RemiseCoef!forfait)</f>
        <v>0</v>
      </c>
      <c r="Q32" s="143">
        <f>(0*(((1-RemiseCoef!$B$4)*RemiseCoef!$B$6)))+(RemiseCoef!forfait)</f>
        <v>0</v>
      </c>
      <c r="R32" s="143">
        <f>(0*(((1-RemiseCoef!$B$4)*RemiseCoef!$B$6)))+(RemiseCoef!forfait)</f>
        <v>0</v>
      </c>
      <c r="S32" s="143">
        <f>(0*(((1-RemiseCoef!$B$4)*RemiseCoef!$B$6)))+(RemiseCoef!forfait)</f>
        <v>0</v>
      </c>
      <c r="T32" s="143">
        <f>(0*(((1-RemiseCoef!$B$4)*RemiseCoef!$B$6)))+(RemiseCoef!forfait)</f>
        <v>0</v>
      </c>
      <c r="U32" s="9"/>
      <c r="V32" s="9"/>
      <c r="W32" s="9"/>
      <c r="X32" s="9"/>
    </row>
    <row r="33" spans="1:24" ht="13.5" customHeight="1" x14ac:dyDescent="0.25">
      <c r="A33" s="131" t="s">
        <v>58</v>
      </c>
      <c r="B33" s="131"/>
      <c r="C33" s="131"/>
      <c r="D33" s="131"/>
      <c r="E33" s="131"/>
      <c r="F33" s="131"/>
      <c r="G33" s="131"/>
      <c r="H33" s="131"/>
      <c r="I33" s="131"/>
      <c r="J33" s="131"/>
      <c r="K33" s="131"/>
      <c r="L33" s="131"/>
      <c r="M33" s="143">
        <f>(58*(((1-RemiseCoef!$B$4)*RemiseCoef!$B$6)))</f>
        <v>58</v>
      </c>
      <c r="N33" s="143">
        <f>(0*(((1-RemiseCoef!$B$4)*RemiseCoef!$B$6)))+(RemiseCoef!forfait)</f>
        <v>0</v>
      </c>
      <c r="O33" s="143">
        <f>(0*(((1-RemiseCoef!$B$4)*RemiseCoef!$B$6)))+(RemiseCoef!forfait)</f>
        <v>0</v>
      </c>
      <c r="P33" s="143">
        <f>(0*(((1-RemiseCoef!$B$4)*RemiseCoef!$B$6)))+(RemiseCoef!forfait)</f>
        <v>0</v>
      </c>
      <c r="Q33" s="143">
        <f>(0*(((1-RemiseCoef!$B$4)*RemiseCoef!$B$6)))+(RemiseCoef!forfait)</f>
        <v>0</v>
      </c>
      <c r="R33" s="143">
        <f>(0*(((1-RemiseCoef!$B$4)*RemiseCoef!$B$6)))+(RemiseCoef!forfait)</f>
        <v>0</v>
      </c>
      <c r="S33" s="143">
        <f>(0*(((1-RemiseCoef!$B$4)*RemiseCoef!$B$6)))+(RemiseCoef!forfait)</f>
        <v>0</v>
      </c>
      <c r="T33" s="143">
        <f>(0*(((1-RemiseCoef!$B$4)*RemiseCoef!$B$6)))+(RemiseCoef!forfait)</f>
        <v>0</v>
      </c>
      <c r="U33" s="9"/>
      <c r="V33" s="9"/>
      <c r="W33" s="9"/>
      <c r="X33" s="9"/>
    </row>
    <row r="34" spans="1:24" ht="13.5" customHeight="1" x14ac:dyDescent="0.25">
      <c r="A34" s="131" t="s">
        <v>79</v>
      </c>
      <c r="B34" s="131"/>
      <c r="C34" s="131"/>
      <c r="D34" s="131"/>
      <c r="E34" s="131"/>
      <c r="F34" s="131"/>
      <c r="G34" s="131"/>
      <c r="H34" s="131"/>
      <c r="I34" s="131"/>
      <c r="J34" s="131"/>
      <c r="K34" s="131"/>
      <c r="L34" s="131"/>
      <c r="M34" s="143">
        <f>(92*(((1-RemiseCoef!$B$4)*RemiseCoef!$B$6)))</f>
        <v>92</v>
      </c>
      <c r="N34" s="143">
        <f>(0*(((1-RemiseCoef!$B$4)*RemiseCoef!$B$6)))+(RemiseCoef!forfait)</f>
        <v>0</v>
      </c>
      <c r="O34" s="143">
        <f>(0*(((1-RemiseCoef!$B$4)*RemiseCoef!$B$6)))+(RemiseCoef!forfait)</f>
        <v>0</v>
      </c>
      <c r="P34" s="143">
        <f>(0*(((1-RemiseCoef!$B$4)*RemiseCoef!$B$6)))+(RemiseCoef!forfait)</f>
        <v>0</v>
      </c>
      <c r="Q34" s="143">
        <f>(0*(((1-RemiseCoef!$B$4)*RemiseCoef!$B$6)))+(RemiseCoef!forfait)</f>
        <v>0</v>
      </c>
      <c r="R34" s="143">
        <f>(0*(((1-RemiseCoef!$B$4)*RemiseCoef!$B$6)))+(RemiseCoef!forfait)</f>
        <v>0</v>
      </c>
      <c r="S34" s="143">
        <f>(0*(((1-RemiseCoef!$B$4)*RemiseCoef!$B$6)))+(RemiseCoef!forfait)</f>
        <v>0</v>
      </c>
      <c r="T34" s="143">
        <f>(0*(((1-RemiseCoef!$B$4)*RemiseCoef!$B$6)))+(RemiseCoef!forfait)</f>
        <v>0</v>
      </c>
      <c r="U34" s="9"/>
      <c r="V34" s="9"/>
      <c r="W34" s="9"/>
      <c r="X34" s="9"/>
    </row>
    <row r="35" spans="1:24" ht="13.5" customHeight="1" x14ac:dyDescent="0.25">
      <c r="A35" s="131" t="s">
        <v>108</v>
      </c>
      <c r="B35" s="131"/>
      <c r="C35" s="131"/>
      <c r="D35" s="131"/>
      <c r="E35" s="131"/>
      <c r="F35" s="131"/>
      <c r="G35" s="131"/>
      <c r="H35" s="131"/>
      <c r="I35" s="131"/>
      <c r="J35" s="131"/>
      <c r="K35" s="131"/>
      <c r="L35" s="131"/>
      <c r="M35" s="143">
        <f>(483*(((1-RemiseCoef!$B$4)*RemiseCoef!$B$6)))</f>
        <v>483</v>
      </c>
      <c r="N35" s="143">
        <f>(0*(((1-RemiseCoef!$B$4)*RemiseCoef!$B$6)))+(RemiseCoef!forfait)</f>
        <v>0</v>
      </c>
      <c r="O35" s="143">
        <f>(0*(((1-RemiseCoef!$B$4)*RemiseCoef!$B$6)))+(RemiseCoef!forfait)</f>
        <v>0</v>
      </c>
      <c r="P35" s="143">
        <f>(0*(((1-RemiseCoef!$B$4)*RemiseCoef!$B$6)))+(RemiseCoef!forfait)</f>
        <v>0</v>
      </c>
      <c r="Q35" s="143">
        <f>(0*(((1-RemiseCoef!$B$4)*RemiseCoef!$B$6)))+(RemiseCoef!forfait)</f>
        <v>0</v>
      </c>
      <c r="R35" s="143">
        <f>(0*(((1-RemiseCoef!$B$4)*RemiseCoef!$B$6)))+(RemiseCoef!forfait)</f>
        <v>0</v>
      </c>
      <c r="S35" s="143">
        <f>(0*(((1-RemiseCoef!$B$4)*RemiseCoef!$B$6)))+(RemiseCoef!forfait)</f>
        <v>0</v>
      </c>
      <c r="T35" s="143">
        <f>(0*(((1-RemiseCoef!$B$4)*RemiseCoef!$B$6)))+(RemiseCoef!forfait)</f>
        <v>0</v>
      </c>
      <c r="U35" s="9"/>
      <c r="V35" s="9"/>
      <c r="W35" s="9"/>
      <c r="X35" s="9"/>
    </row>
    <row r="36" spans="1:24" ht="13.5" customHeight="1" x14ac:dyDescent="0.25">
      <c r="A36" s="131" t="s">
        <v>80</v>
      </c>
      <c r="B36" s="131"/>
      <c r="C36" s="131"/>
      <c r="D36" s="131"/>
      <c r="E36" s="131"/>
      <c r="F36" s="131"/>
      <c r="G36" s="131"/>
      <c r="H36" s="131"/>
      <c r="I36" s="131"/>
      <c r="J36" s="131"/>
      <c r="K36" s="131"/>
      <c r="L36" s="131"/>
      <c r="M36" s="143">
        <f>(84*(((1-RemiseCoef!$B$4)*RemiseCoef!$B$6)))</f>
        <v>84</v>
      </c>
      <c r="N36" s="143">
        <f>(0*(((1-RemiseCoef!$B$4)*RemiseCoef!$B$6)))+(RemiseCoef!forfait)</f>
        <v>0</v>
      </c>
      <c r="O36" s="143">
        <f>(0*(((1-RemiseCoef!$B$4)*RemiseCoef!$B$6)))+(RemiseCoef!forfait)</f>
        <v>0</v>
      </c>
      <c r="P36" s="143">
        <f>(0*(((1-RemiseCoef!$B$4)*RemiseCoef!$B$6)))+(RemiseCoef!forfait)</f>
        <v>0</v>
      </c>
      <c r="Q36" s="143">
        <f>(0*(((1-RemiseCoef!$B$4)*RemiseCoef!$B$6)))+(RemiseCoef!forfait)</f>
        <v>0</v>
      </c>
      <c r="R36" s="143">
        <f>(0*(((1-RemiseCoef!$B$4)*RemiseCoef!$B$6)))+(RemiseCoef!forfait)</f>
        <v>0</v>
      </c>
      <c r="S36" s="143">
        <f>(0*(((1-RemiseCoef!$B$4)*RemiseCoef!$B$6)))+(RemiseCoef!forfait)</f>
        <v>0</v>
      </c>
      <c r="T36" s="143">
        <f>(0*(((1-RemiseCoef!$B$4)*RemiseCoef!$B$6)))+(RemiseCoef!forfait)</f>
        <v>0</v>
      </c>
      <c r="U36" s="9"/>
      <c r="V36" s="9"/>
      <c r="W36" s="9"/>
      <c r="X36" s="9"/>
    </row>
    <row r="37" spans="1:24" ht="13.5" customHeight="1" x14ac:dyDescent="0.25">
      <c r="A37" s="131" t="s">
        <v>74</v>
      </c>
      <c r="B37" s="131"/>
      <c r="C37" s="131"/>
      <c r="D37" s="131"/>
      <c r="E37" s="131"/>
      <c r="F37" s="131"/>
      <c r="G37" s="131"/>
      <c r="H37" s="131"/>
      <c r="I37" s="131"/>
      <c r="J37" s="131"/>
      <c r="K37" s="131"/>
      <c r="L37" s="131"/>
      <c r="M37" s="143">
        <f>(237*(((1-RemiseCoef!$B$4)*RemiseCoef!$B$6)))</f>
        <v>237</v>
      </c>
      <c r="N37" s="143">
        <f>(0*(((1-RemiseCoef!$B$4)*RemiseCoef!$B$6)))+(RemiseCoef!forfait)</f>
        <v>0</v>
      </c>
      <c r="O37" s="143">
        <f>(0*(((1-RemiseCoef!$B$4)*RemiseCoef!$B$6)))+(RemiseCoef!forfait)</f>
        <v>0</v>
      </c>
      <c r="P37" s="143">
        <f>(0*(((1-RemiseCoef!$B$4)*RemiseCoef!$B$6)))+(RemiseCoef!forfait)</f>
        <v>0</v>
      </c>
      <c r="Q37" s="143">
        <f>(0*(((1-RemiseCoef!$B$4)*RemiseCoef!$B$6)))+(RemiseCoef!forfait)</f>
        <v>0</v>
      </c>
      <c r="R37" s="143">
        <f>(0*(((1-RemiseCoef!$B$4)*RemiseCoef!$B$6)))+(RemiseCoef!forfait)</f>
        <v>0</v>
      </c>
      <c r="S37" s="143">
        <f>(0*(((1-RemiseCoef!$B$4)*RemiseCoef!$B$6)))+(RemiseCoef!forfait)</f>
        <v>0</v>
      </c>
      <c r="T37" s="143">
        <f>(0*(((1-RemiseCoef!$B$4)*RemiseCoef!$B$6)))+(RemiseCoef!forfait)</f>
        <v>0</v>
      </c>
      <c r="U37" s="9"/>
      <c r="V37" s="9"/>
      <c r="W37" s="9"/>
      <c r="X37" s="9"/>
    </row>
    <row r="38" spans="1:24" ht="13.5" customHeight="1" x14ac:dyDescent="0.25">
      <c r="A38" s="131" t="s">
        <v>103</v>
      </c>
      <c r="B38" s="131"/>
      <c r="C38" s="131"/>
      <c r="D38" s="131"/>
      <c r="E38" s="131"/>
      <c r="F38" s="131"/>
      <c r="G38" s="131"/>
      <c r="H38" s="131"/>
      <c r="I38" s="131"/>
      <c r="J38" s="131"/>
      <c r="K38" s="131"/>
      <c r="L38" s="131"/>
      <c r="M38" s="143">
        <f>(48*(((1-RemiseCoef!$B$4)*RemiseCoef!$B$6)))</f>
        <v>48</v>
      </c>
      <c r="N38" s="143">
        <f>(0*(((1-RemiseCoef!$B$4)*RemiseCoef!$B$6)))+(RemiseCoef!forfait)</f>
        <v>0</v>
      </c>
      <c r="O38" s="143">
        <f>(0*(((1-RemiseCoef!$B$4)*RemiseCoef!$B$6)))+(RemiseCoef!forfait)</f>
        <v>0</v>
      </c>
      <c r="P38" s="143">
        <f>(0*(((1-RemiseCoef!$B$4)*RemiseCoef!$B$6)))+(RemiseCoef!forfait)</f>
        <v>0</v>
      </c>
      <c r="Q38" s="143">
        <f>(0*(((1-RemiseCoef!$B$4)*RemiseCoef!$B$6)))+(RemiseCoef!forfait)</f>
        <v>0</v>
      </c>
      <c r="R38" s="143">
        <f>(0*(((1-RemiseCoef!$B$4)*RemiseCoef!$B$6)))+(RemiseCoef!forfait)</f>
        <v>0</v>
      </c>
      <c r="S38" s="143">
        <f>(0*(((1-RemiseCoef!$B$4)*RemiseCoef!$B$6)))+(RemiseCoef!forfait)</f>
        <v>0</v>
      </c>
      <c r="T38" s="143">
        <f>(0*(((1-RemiseCoef!$B$4)*RemiseCoef!$B$6)))+(RemiseCoef!forfait)</f>
        <v>0</v>
      </c>
      <c r="U38" s="9"/>
      <c r="V38" s="9"/>
      <c r="W38" s="9"/>
      <c r="X38" s="9"/>
    </row>
    <row r="39" spans="1:24" ht="13.5" customHeight="1" x14ac:dyDescent="0.25">
      <c r="A39" s="131" t="s">
        <v>75</v>
      </c>
      <c r="B39" s="131"/>
      <c r="C39" s="131"/>
      <c r="D39" s="131"/>
      <c r="E39" s="131"/>
      <c r="F39" s="131"/>
      <c r="G39" s="131"/>
      <c r="H39" s="131"/>
      <c r="I39" s="131"/>
      <c r="J39" s="131"/>
      <c r="K39" s="131"/>
      <c r="L39" s="131"/>
      <c r="M39" s="143">
        <f>(286*(((1-RemiseCoef!$B$4)*RemiseCoef!$B$6)))</f>
        <v>286</v>
      </c>
      <c r="N39" s="143">
        <f>(0*(((1-RemiseCoef!$B$4)*RemiseCoef!$B$6)))+(RemiseCoef!forfait)</f>
        <v>0</v>
      </c>
      <c r="O39" s="143">
        <f>(0*(((1-RemiseCoef!$B$4)*RemiseCoef!$B$6)))+(RemiseCoef!forfait)</f>
        <v>0</v>
      </c>
      <c r="P39" s="143">
        <f>(0*(((1-RemiseCoef!$B$4)*RemiseCoef!$B$6)))+(RemiseCoef!forfait)</f>
        <v>0</v>
      </c>
      <c r="Q39" s="143">
        <f>(0*(((1-RemiseCoef!$B$4)*RemiseCoef!$B$6)))+(RemiseCoef!forfait)</f>
        <v>0</v>
      </c>
      <c r="R39" s="143">
        <f>(0*(((1-RemiseCoef!$B$4)*RemiseCoef!$B$6)))+(RemiseCoef!forfait)</f>
        <v>0</v>
      </c>
      <c r="S39" s="143">
        <f>(0*(((1-RemiseCoef!$B$4)*RemiseCoef!$B$6)))+(RemiseCoef!forfait)</f>
        <v>0</v>
      </c>
      <c r="T39" s="143">
        <f>(0*(((1-RemiseCoef!$B$4)*RemiseCoef!$B$6)))+(RemiseCoef!forfait)</f>
        <v>0</v>
      </c>
      <c r="U39" s="9"/>
      <c r="V39" s="9"/>
      <c r="W39" s="9"/>
      <c r="X39" s="9"/>
    </row>
    <row r="40" spans="1:24" ht="13.5" customHeight="1" x14ac:dyDescent="0.25">
      <c r="A40" s="131" t="s">
        <v>78</v>
      </c>
      <c r="B40" s="131"/>
      <c r="C40" s="131"/>
      <c r="D40" s="131"/>
      <c r="E40" s="131"/>
      <c r="F40" s="131"/>
      <c r="G40" s="131"/>
      <c r="H40" s="131"/>
      <c r="I40" s="131"/>
      <c r="J40" s="131"/>
      <c r="K40" s="131"/>
      <c r="L40" s="131"/>
      <c r="M40" s="143">
        <f>(77*(((1-RemiseCoef!$B$4)*RemiseCoef!$B$6)))</f>
        <v>77</v>
      </c>
      <c r="N40" s="143">
        <f>(0*(((1-RemiseCoef!$B$4)*RemiseCoef!$B$6)))+(RemiseCoef!forfait)</f>
        <v>0</v>
      </c>
      <c r="O40" s="143">
        <f>(0*(((1-RemiseCoef!$B$4)*RemiseCoef!$B$6)))+(RemiseCoef!forfait)</f>
        <v>0</v>
      </c>
      <c r="P40" s="143">
        <f>(0*(((1-RemiseCoef!$B$4)*RemiseCoef!$B$6)))+(RemiseCoef!forfait)</f>
        <v>0</v>
      </c>
      <c r="Q40" s="143">
        <f>(0*(((1-RemiseCoef!$B$4)*RemiseCoef!$B$6)))+(RemiseCoef!forfait)</f>
        <v>0</v>
      </c>
      <c r="R40" s="143">
        <f>(0*(((1-RemiseCoef!$B$4)*RemiseCoef!$B$6)))+(RemiseCoef!forfait)</f>
        <v>0</v>
      </c>
      <c r="S40" s="143">
        <f>(0*(((1-RemiseCoef!$B$4)*RemiseCoef!$B$6)))+(RemiseCoef!forfait)</f>
        <v>0</v>
      </c>
      <c r="T40" s="143">
        <f>(0*(((1-RemiseCoef!$B$4)*RemiseCoef!$B$6)))+(RemiseCoef!forfait)</f>
        <v>0</v>
      </c>
      <c r="U40" s="9"/>
      <c r="V40" s="9"/>
      <c r="W40" s="9"/>
      <c r="X40" s="9"/>
    </row>
    <row r="41" spans="1:24" ht="13.5" customHeight="1" x14ac:dyDescent="0.25">
      <c r="A41" s="131" t="s">
        <v>81</v>
      </c>
      <c r="B41" s="131"/>
      <c r="C41" s="131"/>
      <c r="D41" s="131"/>
      <c r="E41" s="131"/>
      <c r="F41" s="131"/>
      <c r="G41" s="131"/>
      <c r="H41" s="131"/>
      <c r="I41" s="131"/>
      <c r="J41" s="131"/>
      <c r="K41" s="131"/>
      <c r="L41" s="131"/>
      <c r="M41" s="143">
        <f>(139*(((1-RemiseCoef!$B$4)*RemiseCoef!$B$6)))</f>
        <v>139</v>
      </c>
      <c r="N41" s="143">
        <f>(0*(((1-RemiseCoef!$B$4)*RemiseCoef!$B$6)))+(RemiseCoef!forfait)</f>
        <v>0</v>
      </c>
      <c r="O41" s="143">
        <f>(0*(((1-RemiseCoef!$B$4)*RemiseCoef!$B$6)))+(RemiseCoef!forfait)</f>
        <v>0</v>
      </c>
      <c r="P41" s="143">
        <f>(0*(((1-RemiseCoef!$B$4)*RemiseCoef!$B$6)))+(RemiseCoef!forfait)</f>
        <v>0</v>
      </c>
      <c r="Q41" s="143">
        <f>(0*(((1-RemiseCoef!$B$4)*RemiseCoef!$B$6)))+(RemiseCoef!forfait)</f>
        <v>0</v>
      </c>
      <c r="R41" s="143">
        <f>(0*(((1-RemiseCoef!$B$4)*RemiseCoef!$B$6)))+(RemiseCoef!forfait)</f>
        <v>0</v>
      </c>
      <c r="S41" s="143">
        <f>(0*(((1-RemiseCoef!$B$4)*RemiseCoef!$B$6)))+(RemiseCoef!forfait)</f>
        <v>0</v>
      </c>
      <c r="T41" s="143">
        <f>(0*(((1-RemiseCoef!$B$4)*RemiseCoef!$B$6)))+(RemiseCoef!forfait)</f>
        <v>0</v>
      </c>
      <c r="U41" s="9"/>
      <c r="V41" s="9"/>
      <c r="W41" s="9"/>
      <c r="X41" s="9"/>
    </row>
    <row r="42" spans="1:24" ht="13.5" customHeight="1" x14ac:dyDescent="0.25">
      <c r="A42" s="131" t="s">
        <v>101</v>
      </c>
      <c r="B42" s="131"/>
      <c r="C42" s="131"/>
      <c r="D42" s="131"/>
      <c r="E42" s="131"/>
      <c r="F42" s="131"/>
      <c r="G42" s="131"/>
      <c r="H42" s="131"/>
      <c r="I42" s="131"/>
      <c r="J42" s="131"/>
      <c r="K42" s="131"/>
      <c r="L42" s="131"/>
      <c r="M42" s="143">
        <f>(331*(((1-RemiseCoef!$B$4)*RemiseCoef!$B$6)))</f>
        <v>331</v>
      </c>
      <c r="N42" s="143">
        <f>(0*(((1-RemiseCoef!$B$4)*RemiseCoef!$B$6)))+(RemiseCoef!forfait)</f>
        <v>0</v>
      </c>
      <c r="O42" s="143">
        <f>(0*(((1-RemiseCoef!$B$4)*RemiseCoef!$B$6)))+(RemiseCoef!forfait)</f>
        <v>0</v>
      </c>
      <c r="P42" s="143">
        <f>(0*(((1-RemiseCoef!$B$4)*RemiseCoef!$B$6)))+(RemiseCoef!forfait)</f>
        <v>0</v>
      </c>
      <c r="Q42" s="143">
        <f>(0*(((1-RemiseCoef!$B$4)*RemiseCoef!$B$6)))+(RemiseCoef!forfait)</f>
        <v>0</v>
      </c>
      <c r="R42" s="143">
        <f>(0*(((1-RemiseCoef!$B$4)*RemiseCoef!$B$6)))+(RemiseCoef!forfait)</f>
        <v>0</v>
      </c>
      <c r="S42" s="143">
        <f>(0*(((1-RemiseCoef!$B$4)*RemiseCoef!$B$6)))+(RemiseCoef!forfait)</f>
        <v>0</v>
      </c>
      <c r="T42" s="143">
        <f>(0*(((1-RemiseCoef!$B$4)*RemiseCoef!$B$6)))+(RemiseCoef!forfait)</f>
        <v>0</v>
      </c>
      <c r="U42" s="9"/>
      <c r="V42" s="9"/>
      <c r="W42" s="9"/>
      <c r="X42" s="9"/>
    </row>
    <row r="43" spans="1:24" ht="13.5" customHeight="1" x14ac:dyDescent="0.25">
      <c r="A43" s="131" t="s">
        <v>85</v>
      </c>
      <c r="B43" s="131"/>
      <c r="C43" s="131"/>
      <c r="D43" s="131"/>
      <c r="E43" s="131"/>
      <c r="F43" s="131"/>
      <c r="G43" s="131"/>
      <c r="H43" s="131"/>
      <c r="I43" s="131"/>
      <c r="J43" s="131"/>
      <c r="K43" s="131"/>
      <c r="L43" s="131"/>
      <c r="M43" s="143">
        <f>(403*(((1-RemiseCoef!$B$4)*RemiseCoef!$B$6)))</f>
        <v>403</v>
      </c>
      <c r="N43" s="143">
        <f>(0*(((1-RemiseCoef!$B$4)*RemiseCoef!$B$6)))+(RemiseCoef!forfait)</f>
        <v>0</v>
      </c>
      <c r="O43" s="143">
        <f>(0*(((1-RemiseCoef!$B$4)*RemiseCoef!$B$6)))+(RemiseCoef!forfait)</f>
        <v>0</v>
      </c>
      <c r="P43" s="143">
        <f>(0*(((1-RemiseCoef!$B$4)*RemiseCoef!$B$6)))+(RemiseCoef!forfait)</f>
        <v>0</v>
      </c>
      <c r="Q43" s="143">
        <f>(0*(((1-RemiseCoef!$B$4)*RemiseCoef!$B$6)))+(RemiseCoef!forfait)</f>
        <v>0</v>
      </c>
      <c r="R43" s="143">
        <f>(0*(((1-RemiseCoef!$B$4)*RemiseCoef!$B$6)))+(RemiseCoef!forfait)</f>
        <v>0</v>
      </c>
      <c r="S43" s="143">
        <f>(0*(((1-RemiseCoef!$B$4)*RemiseCoef!$B$6)))+(RemiseCoef!forfait)</f>
        <v>0</v>
      </c>
      <c r="T43" s="143">
        <f>(0*(((1-RemiseCoef!$B$4)*RemiseCoef!$B$6)))+(RemiseCoef!forfait)</f>
        <v>0</v>
      </c>
      <c r="U43" s="9"/>
      <c r="V43" s="9"/>
      <c r="W43" s="9"/>
      <c r="X43" s="9"/>
    </row>
    <row r="44" spans="1:24" ht="11.25" customHeight="1" x14ac:dyDescent="0.25">
      <c r="A44" s="57" t="s">
        <v>109</v>
      </c>
      <c r="B44" s="8"/>
      <c r="C44" s="8"/>
      <c r="D44" s="8"/>
      <c r="E44" s="8"/>
      <c r="F44" s="8"/>
      <c r="G44" s="8"/>
      <c r="H44" s="8"/>
      <c r="I44" s="8"/>
      <c r="J44" s="8"/>
      <c r="K44" s="8"/>
      <c r="L44" s="8"/>
      <c r="M44" s="8"/>
      <c r="N44" s="8"/>
      <c r="O44" s="8"/>
      <c r="P44" s="8"/>
      <c r="Q44" s="8"/>
      <c r="R44" s="8"/>
      <c r="S44" s="9"/>
      <c r="T44" s="9"/>
      <c r="U44" s="9"/>
      <c r="V44" s="9"/>
      <c r="W44" s="9"/>
      <c r="X44" s="9"/>
    </row>
    <row r="45" spans="1:24" ht="18.75" customHeight="1" x14ac:dyDescent="0.35">
      <c r="A45" s="58" t="s">
        <v>66</v>
      </c>
      <c r="B45" s="8"/>
      <c r="C45" s="8"/>
      <c r="D45" s="8"/>
      <c r="E45" s="8"/>
      <c r="F45" s="8"/>
      <c r="G45" s="8"/>
      <c r="H45" s="8"/>
      <c r="I45" s="8"/>
      <c r="J45" s="8"/>
      <c r="K45" s="8"/>
      <c r="L45" s="8"/>
      <c r="M45" s="8"/>
      <c r="N45" s="8"/>
      <c r="O45" s="8"/>
      <c r="P45" s="8"/>
      <c r="Q45" s="8"/>
      <c r="R45" s="8"/>
      <c r="S45" s="8"/>
      <c r="T45" s="8"/>
      <c r="U45" s="8"/>
      <c r="V45" s="9"/>
      <c r="W45" s="9"/>
      <c r="X45" s="9"/>
    </row>
    <row r="46" spans="1:24" ht="12.75" customHeight="1" x14ac:dyDescent="0.25">
      <c r="A46" s="9"/>
      <c r="B46" s="56" t="s">
        <v>62</v>
      </c>
      <c r="C46" s="8"/>
      <c r="D46" s="8"/>
      <c r="E46" s="9"/>
      <c r="F46" s="9"/>
      <c r="G46" s="56" t="s">
        <v>63</v>
      </c>
      <c r="H46" s="8"/>
      <c r="I46" s="9"/>
      <c r="J46" s="9"/>
      <c r="K46" s="8"/>
      <c r="L46" s="56" t="s">
        <v>64</v>
      </c>
      <c r="M46" s="8"/>
      <c r="N46" s="8"/>
      <c r="O46" s="8"/>
      <c r="P46" s="9"/>
      <c r="Q46" s="8" t="s">
        <v>65</v>
      </c>
      <c r="R46" s="8"/>
      <c r="S46" s="8"/>
      <c r="T46" s="8"/>
      <c r="U46" s="8"/>
      <c r="V46" s="9"/>
      <c r="W46" s="9"/>
      <c r="X46" s="9"/>
    </row>
    <row r="47" spans="1:24" ht="12.75" customHeight="1" x14ac:dyDescent="0.25">
      <c r="A47" s="8"/>
      <c r="B47" s="8"/>
      <c r="C47" s="8"/>
      <c r="D47" s="8"/>
      <c r="E47" s="9"/>
      <c r="F47" s="8"/>
      <c r="G47" s="8"/>
      <c r="H47" s="8"/>
      <c r="I47" s="9"/>
      <c r="J47" s="8"/>
      <c r="K47" s="8"/>
      <c r="L47" s="8"/>
      <c r="M47" s="8"/>
      <c r="N47" s="8"/>
      <c r="O47" s="8"/>
      <c r="P47" s="9"/>
      <c r="Q47" s="8"/>
      <c r="R47" s="8"/>
      <c r="S47" s="8"/>
      <c r="T47" s="8"/>
      <c r="U47" s="8"/>
      <c r="V47" s="9"/>
      <c r="W47" s="9"/>
      <c r="X47" s="9"/>
    </row>
    <row r="48" spans="1:24" ht="12.75" customHeight="1" x14ac:dyDescent="0.25">
      <c r="A48" s="8"/>
      <c r="B48" s="8"/>
      <c r="C48" s="8"/>
      <c r="D48" s="8"/>
      <c r="E48" s="9"/>
      <c r="F48" s="8"/>
      <c r="G48" s="8"/>
      <c r="H48" s="8"/>
      <c r="I48" s="9"/>
      <c r="J48" s="8"/>
      <c r="K48" s="8"/>
      <c r="L48" s="8"/>
      <c r="M48" s="8"/>
      <c r="N48" s="8"/>
      <c r="O48" s="8"/>
      <c r="P48" s="9"/>
      <c r="Q48" s="8"/>
      <c r="R48" s="8"/>
      <c r="S48" s="8"/>
      <c r="T48" s="8"/>
      <c r="U48" s="8"/>
      <c r="V48" s="9"/>
      <c r="W48" s="9"/>
      <c r="X48" s="9"/>
    </row>
    <row r="49" spans="1:24" ht="12.75" customHeight="1" x14ac:dyDescent="0.25">
      <c r="A49" s="8"/>
      <c r="B49" s="8"/>
      <c r="C49" s="8"/>
      <c r="D49" s="8"/>
      <c r="E49" s="9"/>
      <c r="F49" s="8"/>
      <c r="G49" s="8"/>
      <c r="H49" s="8"/>
      <c r="I49" s="9"/>
      <c r="J49" s="8"/>
      <c r="K49" s="8"/>
      <c r="L49" s="8"/>
      <c r="M49" s="8"/>
      <c r="N49" s="8"/>
      <c r="O49" s="8"/>
      <c r="P49" s="9"/>
      <c r="Q49" s="8"/>
      <c r="R49" s="8"/>
      <c r="S49" s="8"/>
      <c r="T49" s="8"/>
      <c r="U49" s="8"/>
      <c r="V49" s="9"/>
      <c r="W49" s="9"/>
      <c r="X49" s="9"/>
    </row>
    <row r="50" spans="1:24" ht="12.75" customHeight="1" x14ac:dyDescent="0.25">
      <c r="A50" s="8"/>
      <c r="B50" s="8"/>
      <c r="C50" s="8"/>
      <c r="D50" s="8"/>
      <c r="E50" s="9"/>
      <c r="F50" s="8"/>
      <c r="G50" s="8"/>
      <c r="H50" s="8"/>
      <c r="I50" s="9"/>
      <c r="J50" s="8"/>
      <c r="K50" s="8"/>
      <c r="L50" s="8"/>
      <c r="M50" s="8"/>
      <c r="N50" s="8"/>
      <c r="O50" s="8"/>
      <c r="P50" s="9"/>
      <c r="Q50" s="8"/>
      <c r="R50" s="8"/>
      <c r="S50" s="8"/>
      <c r="T50" s="8"/>
      <c r="U50" s="8"/>
      <c r="V50" s="9"/>
      <c r="W50" s="9"/>
      <c r="X50" s="9"/>
    </row>
    <row r="51" spans="1:24" ht="12.75" customHeight="1" x14ac:dyDescent="0.25">
      <c r="A51" s="8"/>
      <c r="B51" s="8"/>
      <c r="C51" s="8"/>
      <c r="D51" s="8"/>
      <c r="E51" s="9"/>
      <c r="F51" s="8"/>
      <c r="G51" s="8"/>
      <c r="H51" s="8"/>
      <c r="I51" s="9"/>
      <c r="J51" s="8"/>
      <c r="K51" s="8"/>
      <c r="L51" s="8"/>
      <c r="M51" s="8"/>
      <c r="N51" s="8"/>
      <c r="O51" s="8"/>
      <c r="P51" s="9"/>
      <c r="Q51" s="8"/>
      <c r="R51" s="8"/>
      <c r="S51" s="8"/>
      <c r="T51" s="8"/>
      <c r="U51" s="8"/>
      <c r="V51" s="9"/>
      <c r="W51" s="9"/>
      <c r="X51" s="9"/>
    </row>
    <row r="52" spans="1:24" ht="12.75" customHeight="1" x14ac:dyDescent="0.25">
      <c r="A52" s="8"/>
      <c r="B52" s="8"/>
      <c r="C52" s="8"/>
      <c r="D52" s="8"/>
      <c r="E52" s="9"/>
      <c r="F52" s="8"/>
      <c r="G52" s="8"/>
      <c r="H52" s="8"/>
      <c r="I52" s="9"/>
      <c r="J52" s="8"/>
      <c r="K52" s="8"/>
      <c r="L52" s="8"/>
      <c r="M52" s="8"/>
      <c r="N52" s="8"/>
      <c r="O52" s="8"/>
      <c r="P52" s="9"/>
      <c r="Q52" s="8"/>
      <c r="R52" s="8"/>
      <c r="S52" s="8"/>
      <c r="T52" s="8"/>
      <c r="U52" s="8"/>
      <c r="V52" s="9"/>
      <c r="W52" s="9"/>
      <c r="X52" s="9"/>
    </row>
    <row r="53" spans="1:24" ht="12.75" customHeight="1" x14ac:dyDescent="0.25"/>
    <row r="54" spans="1:24" ht="12.75" customHeight="1" x14ac:dyDescent="0.25"/>
    <row r="58" spans="1:24" ht="9.75" customHeight="1" x14ac:dyDescent="0.25"/>
  </sheetData>
  <sheetProtection algorithmName="SHA-512" hashValue="oZZlF/DNLSfu1hPBmLbuSh+JEA5w0TqOl/eKMJdaKCs6Wams3zbU4EyKkhC4ue3eTNT2maoB7Xa5hC794iMFuQ==" saltValue="B34/F51XMd4TaG93tdWs+w==" spinCount="100000" sheet="1" objects="1" scenarios="1" selectLockedCells="1" selectUnlockedCells="1"/>
  <mergeCells count="110">
    <mergeCell ref="A30:L30"/>
    <mergeCell ref="A23:I23"/>
    <mergeCell ref="J23:U23"/>
    <mergeCell ref="A27:L28"/>
    <mergeCell ref="M30:T30"/>
    <mergeCell ref="A37:L37"/>
    <mergeCell ref="A39:L39"/>
    <mergeCell ref="A43:L43"/>
    <mergeCell ref="A31:L31"/>
    <mergeCell ref="A32:L32"/>
    <mergeCell ref="A35:L35"/>
    <mergeCell ref="A33:L33"/>
    <mergeCell ref="A34:L34"/>
    <mergeCell ref="A36:L36"/>
    <mergeCell ref="A38:L38"/>
    <mergeCell ref="A41:L41"/>
    <mergeCell ref="A40:L40"/>
    <mergeCell ref="A42:L42"/>
    <mergeCell ref="M31:T31"/>
    <mergeCell ref="M32:T32"/>
    <mergeCell ref="M33:T33"/>
    <mergeCell ref="M34:T34"/>
    <mergeCell ref="M42:T42"/>
    <mergeCell ref="M43:T43"/>
    <mergeCell ref="M14:O14"/>
    <mergeCell ref="P14:R14"/>
    <mergeCell ref="S14:U14"/>
    <mergeCell ref="A16:I16"/>
    <mergeCell ref="J16:O16"/>
    <mergeCell ref="P16:R16"/>
    <mergeCell ref="S16:U16"/>
    <mergeCell ref="A15:I15"/>
    <mergeCell ref="J15:O15"/>
    <mergeCell ref="P15:R15"/>
    <mergeCell ref="S15:U15"/>
    <mergeCell ref="A14:I14"/>
    <mergeCell ref="J14:L14"/>
    <mergeCell ref="A13:I13"/>
    <mergeCell ref="J13:L13"/>
    <mergeCell ref="M13:O13"/>
    <mergeCell ref="P13:R13"/>
    <mergeCell ref="S13:U13"/>
    <mergeCell ref="A12:I12"/>
    <mergeCell ref="J12:L12"/>
    <mergeCell ref="M12:O12"/>
    <mergeCell ref="P12:R12"/>
    <mergeCell ref="S12:U12"/>
    <mergeCell ref="A2:U2"/>
    <mergeCell ref="J4:L4"/>
    <mergeCell ref="M4:O4"/>
    <mergeCell ref="P4:R4"/>
    <mergeCell ref="S4:U4"/>
    <mergeCell ref="A3:I4"/>
    <mergeCell ref="J8:L8"/>
    <mergeCell ref="M8:O8"/>
    <mergeCell ref="P8:R8"/>
    <mergeCell ref="S8:U8"/>
    <mergeCell ref="A11:I11"/>
    <mergeCell ref="J11:L11"/>
    <mergeCell ref="M11:U11"/>
    <mergeCell ref="A8:I8"/>
    <mergeCell ref="A5:I5"/>
    <mergeCell ref="J5:U5"/>
    <mergeCell ref="A6:I6"/>
    <mergeCell ref="J6:U6"/>
    <mergeCell ref="A7:I7"/>
    <mergeCell ref="J7:L7"/>
    <mergeCell ref="M7:O7"/>
    <mergeCell ref="P7:R7"/>
    <mergeCell ref="S7:U7"/>
    <mergeCell ref="A9:I9"/>
    <mergeCell ref="J9:L9"/>
    <mergeCell ref="M9:O9"/>
    <mergeCell ref="P9:R9"/>
    <mergeCell ref="S9:U9"/>
    <mergeCell ref="A10:I10"/>
    <mergeCell ref="J10:L10"/>
    <mergeCell ref="M10:O10"/>
    <mergeCell ref="P10:R10"/>
    <mergeCell ref="S10:U10"/>
    <mergeCell ref="M40:T40"/>
    <mergeCell ref="M41:T41"/>
    <mergeCell ref="M27:P28"/>
    <mergeCell ref="Q27:T28"/>
    <mergeCell ref="M35:T35"/>
    <mergeCell ref="M36:T36"/>
    <mergeCell ref="M37:T37"/>
    <mergeCell ref="M38:T38"/>
    <mergeCell ref="M39:T39"/>
    <mergeCell ref="A29:L29"/>
    <mergeCell ref="M29:P29"/>
    <mergeCell ref="Q29:T29"/>
    <mergeCell ref="A17:I17"/>
    <mergeCell ref="J17:L17"/>
    <mergeCell ref="M17:O17"/>
    <mergeCell ref="P17:U17"/>
    <mergeCell ref="A19:I19"/>
    <mergeCell ref="J19:L19"/>
    <mergeCell ref="M19:O19"/>
    <mergeCell ref="P19:R19"/>
    <mergeCell ref="S19:U19"/>
    <mergeCell ref="M18:U18"/>
    <mergeCell ref="A20:I20"/>
    <mergeCell ref="J20:U20"/>
    <mergeCell ref="A22:I22"/>
    <mergeCell ref="J22:U22"/>
    <mergeCell ref="A18:I18"/>
    <mergeCell ref="J18:L18"/>
    <mergeCell ref="A21:I21"/>
    <mergeCell ref="J21:U21"/>
  </mergeCells>
  <conditionalFormatting sqref="A6:I6">
    <cfRule type="expression" dxfId="3" priority="29">
      <formula>MOD(ROW(),2)=0</formula>
    </cfRule>
  </conditionalFormatting>
  <conditionalFormatting sqref="A29:M43">
    <cfRule type="expression" dxfId="2" priority="1">
      <formula>MOD(ROW(),2)=0</formula>
    </cfRule>
  </conditionalFormatting>
  <conditionalFormatting sqref="A5:U23">
    <cfRule type="expression" dxfId="1" priority="3">
      <formula>MOD(ROW(),2)=0</formula>
    </cfRule>
  </conditionalFormatting>
  <conditionalFormatting sqref="J5:U23">
    <cfRule type="cellIs" dxfId="0" priority="2" operator="equal">
      <formula>"Non dispo"</formula>
    </cfRule>
  </conditionalFormatting>
  <printOptions horizontalCentered="1"/>
  <pageMargins left="0.31496062992125984" right="0.31496062992125984" top="0.39370078740157483"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71397-F530-459C-9771-A0E46C254EA7}">
  <dimension ref="A6:D7"/>
  <sheetViews>
    <sheetView workbookViewId="0">
      <selection activeCell="B7" sqref="B7"/>
    </sheetView>
  </sheetViews>
  <sheetFormatPr baseColWidth="10" defaultRowHeight="15" x14ac:dyDescent="0.25"/>
  <sheetData>
    <row r="6" spans="1:4" x14ac:dyDescent="0.25">
      <c r="A6" t="s">
        <v>117</v>
      </c>
      <c r="B6">
        <f>((1-RemiseCoef!$B$4)*RemiseCoef!$B$6)</f>
        <v>1</v>
      </c>
      <c r="D6" t="s">
        <v>118</v>
      </c>
    </row>
    <row r="7" spans="1:4" x14ac:dyDescent="0.25">
      <c r="A7" t="s">
        <v>119</v>
      </c>
      <c r="B7">
        <f>RemiseCoef!forfait</f>
        <v>0</v>
      </c>
      <c r="D7"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14</vt:i4>
      </vt:variant>
    </vt:vector>
  </HeadingPairs>
  <TitlesOfParts>
    <vt:vector size="20" baseType="lpstr">
      <vt:lpstr>RemiseCoef</vt:lpstr>
      <vt:lpstr>sommaire et ecopark</vt:lpstr>
      <vt:lpstr>rollpark</vt:lpstr>
      <vt:lpstr>rollpark (2)</vt:lpstr>
      <vt:lpstr>options (2)</vt:lpstr>
      <vt:lpstr>formule</vt:lpstr>
      <vt:lpstr>RemiseCoef!coef</vt:lpstr>
      <vt:lpstr>RemiseCoef!forfait</vt:lpstr>
      <vt:lpstr>'options (2)'!Print_Area</vt:lpstr>
      <vt:lpstr>rollpark!Print_Area</vt:lpstr>
      <vt:lpstr>'rollpark (2)'!Print_Area</vt:lpstr>
      <vt:lpstr>'sommaire et ecopark'!Print_Area</vt:lpstr>
      <vt:lpstr>'options (2)'!Print_essai</vt:lpstr>
      <vt:lpstr>rollpark!Print_essai</vt:lpstr>
      <vt:lpstr>'sommaire et ecopark'!Print_essai</vt:lpstr>
      <vt:lpstr>RemiseCoef!remise</vt:lpstr>
      <vt:lpstr>'options (2)'!Zone_d_impression</vt:lpstr>
      <vt:lpstr>rollpark!Zone_d_impression</vt:lpstr>
      <vt:lpstr>'rollpark (2)'!Zone_d_impression</vt:lpstr>
      <vt:lpstr>'sommaire et ecopark'!Zone_d_impression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Graphiste</dc:creator>
  <cp:lastModifiedBy>ERIC</cp:lastModifiedBy>
  <cp:lastPrinted>2021-10-29T12:21:54Z</cp:lastPrinted>
  <dcterms:created xsi:type="dcterms:W3CDTF">2018-06-27T11:41:24Z</dcterms:created>
  <dcterms:modified xsi:type="dcterms:W3CDTF">2026-03-18T14:27:32Z</dcterms:modified>
</cp:coreProperties>
</file>